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RN-FS01\Data\EER$\Customer Service Data\Konfiguratory\2021\"/>
    </mc:Choice>
  </mc:AlternateContent>
  <xr:revisionPtr revIDLastSave="0" documentId="8_{D735B1B7-AC48-4021-B63A-BB37B1EC37D1}" xr6:coauthVersionLast="44" xr6:coauthVersionMax="44" xr10:uidLastSave="{00000000-0000-0000-0000-000000000000}"/>
  <workbookProtection workbookAlgorithmName="SHA-512" workbookHashValue="r1SUPyAEB/XGVTQhHnTxFB8rdFBVTcdb3lEO4vMjgntGu+t/OBKfpCuXW8mX9YAwqyDZEBuiCDxs8j7HncLIIQ==" workbookSaltValue="g0IYMGKvpF6D/suIVGUMGA==" workbookSpinCount="100000" lockStructure="1"/>
  <bookViews>
    <workbookView xWindow="26805" yWindow="1680" windowWidth="15375" windowHeight="7875" xr2:uid="{00000000-000D-0000-FFFF-FFFF00000000}"/>
  </bookViews>
  <sheets>
    <sheet name="M1- Configurator" sheetId="4" r:id="rId1"/>
    <sheet name="Pricing Conditions M1 SCBA" sheetId="1" state="hidden" r:id="rId2"/>
    <sheet name="Virtuals" sheetId="8" state="hidden" r:id="rId3"/>
    <sheet name="VA00_load" sheetId="9" state="hidden" r:id="rId4"/>
  </sheets>
  <definedNames>
    <definedName name="_xlnm.Print_Area" localSheetId="0">'M1- Configurator'!$C$1:$Q$52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5" i="9" l="1"/>
  <c r="AQ6" i="9"/>
  <c r="AQ9" i="9"/>
  <c r="AQ10" i="9"/>
  <c r="AQ13" i="9"/>
  <c r="AQ14" i="9"/>
  <c r="AQ17" i="9"/>
  <c r="AQ18" i="9"/>
  <c r="AQ21" i="9"/>
  <c r="AQ22" i="9"/>
  <c r="AQ25" i="9"/>
  <c r="AQ26" i="9"/>
  <c r="AQ29" i="9"/>
  <c r="AQ30" i="9"/>
  <c r="AQ33" i="9"/>
  <c r="AQ34" i="9"/>
  <c r="AQ37" i="9"/>
  <c r="AQ38" i="9"/>
  <c r="AQ41" i="9"/>
  <c r="AQ42" i="9"/>
  <c r="AQ45" i="9"/>
  <c r="AQ46" i="9"/>
  <c r="AQ49" i="9"/>
  <c r="AQ50" i="9"/>
  <c r="AQ53" i="9"/>
  <c r="AQ54" i="9"/>
  <c r="AP3" i="9"/>
  <c r="AP4" i="9"/>
  <c r="AP7" i="9"/>
  <c r="AP8" i="9"/>
  <c r="AP11" i="9"/>
  <c r="AP12" i="9"/>
  <c r="AP15" i="9"/>
  <c r="AP16" i="9"/>
  <c r="AP19" i="9"/>
  <c r="AP20" i="9"/>
  <c r="AP23" i="9"/>
  <c r="AP24" i="9"/>
  <c r="AP27" i="9"/>
  <c r="AP28" i="9"/>
  <c r="AP31" i="9"/>
  <c r="AP32" i="9"/>
  <c r="AP35" i="9"/>
  <c r="AP36" i="9"/>
  <c r="AP39" i="9"/>
  <c r="AP40" i="9"/>
  <c r="AP43" i="9"/>
  <c r="AP44" i="9"/>
  <c r="AP47" i="9"/>
  <c r="AP48" i="9"/>
  <c r="AP51" i="9"/>
  <c r="AP52" i="9"/>
  <c r="AP55" i="9"/>
  <c r="AP2" i="9"/>
  <c r="AI5" i="9"/>
  <c r="AI6" i="9"/>
  <c r="AI9" i="9"/>
  <c r="AI10" i="9"/>
  <c r="AI13" i="9"/>
  <c r="AI14" i="9"/>
  <c r="AI17" i="9"/>
  <c r="AI18" i="9"/>
  <c r="AI21" i="9"/>
  <c r="AI22" i="9"/>
  <c r="AI25" i="9"/>
  <c r="AI26" i="9"/>
  <c r="AI29" i="9"/>
  <c r="AI30" i="9"/>
  <c r="AI33" i="9"/>
  <c r="AI34" i="9"/>
  <c r="AI37" i="9"/>
  <c r="AI38" i="9"/>
  <c r="AI41" i="9"/>
  <c r="AI42" i="9"/>
  <c r="AI45" i="9"/>
  <c r="AI46" i="9"/>
  <c r="AI49" i="9"/>
  <c r="AI50" i="9"/>
  <c r="AI53" i="9"/>
  <c r="AI54" i="9"/>
  <c r="W3" i="9"/>
  <c r="AQ3" i="9" s="1"/>
  <c r="W4" i="9"/>
  <c r="AQ4" i="9" s="1"/>
  <c r="W5" i="9"/>
  <c r="W6" i="9"/>
  <c r="W7" i="9"/>
  <c r="AQ7" i="9" s="1"/>
  <c r="W8" i="9"/>
  <c r="AQ8" i="9" s="1"/>
  <c r="W9" i="9"/>
  <c r="W10" i="9"/>
  <c r="W11" i="9"/>
  <c r="AQ11" i="9" s="1"/>
  <c r="W12" i="9"/>
  <c r="AQ12" i="9" s="1"/>
  <c r="W13" i="9"/>
  <c r="W14" i="9"/>
  <c r="W15" i="9"/>
  <c r="AQ15" i="9" s="1"/>
  <c r="W16" i="9"/>
  <c r="AQ16" i="9" s="1"/>
  <c r="W17" i="9"/>
  <c r="W18" i="9"/>
  <c r="W19" i="9"/>
  <c r="AQ19" i="9" s="1"/>
  <c r="W20" i="9"/>
  <c r="AQ20" i="9" s="1"/>
  <c r="W21" i="9"/>
  <c r="W22" i="9"/>
  <c r="W23" i="9"/>
  <c r="AQ23" i="9" s="1"/>
  <c r="W24" i="9"/>
  <c r="AQ24" i="9" s="1"/>
  <c r="W25" i="9"/>
  <c r="W26" i="9"/>
  <c r="W27" i="9"/>
  <c r="AQ27" i="9" s="1"/>
  <c r="W28" i="9"/>
  <c r="AQ28" i="9" s="1"/>
  <c r="W29" i="9"/>
  <c r="W30" i="9"/>
  <c r="W31" i="9"/>
  <c r="AQ31" i="9" s="1"/>
  <c r="W32" i="9"/>
  <c r="AQ32" i="9" s="1"/>
  <c r="W33" i="9"/>
  <c r="W34" i="9"/>
  <c r="W35" i="9"/>
  <c r="AQ35" i="9" s="1"/>
  <c r="W36" i="9"/>
  <c r="AQ36" i="9" s="1"/>
  <c r="W37" i="9"/>
  <c r="W38" i="9"/>
  <c r="W39" i="9"/>
  <c r="AQ39" i="9" s="1"/>
  <c r="W40" i="9"/>
  <c r="AQ40" i="9" s="1"/>
  <c r="W41" i="9"/>
  <c r="W42" i="9"/>
  <c r="W43" i="9"/>
  <c r="AQ43" i="9" s="1"/>
  <c r="W44" i="9"/>
  <c r="AQ44" i="9" s="1"/>
  <c r="W45" i="9"/>
  <c r="W46" i="9"/>
  <c r="W47" i="9"/>
  <c r="AQ47" i="9" s="1"/>
  <c r="W48" i="9"/>
  <c r="AQ48" i="9" s="1"/>
  <c r="W49" i="9"/>
  <c r="W50" i="9"/>
  <c r="W51" i="9"/>
  <c r="AQ51" i="9" s="1"/>
  <c r="W52" i="9"/>
  <c r="AQ52" i="9" s="1"/>
  <c r="W53" i="9"/>
  <c r="W54" i="9"/>
  <c r="W55" i="9"/>
  <c r="AQ55" i="9" s="1"/>
  <c r="W2" i="9"/>
  <c r="AQ2" i="9" s="1"/>
  <c r="V3" i="9"/>
  <c r="V4" i="9"/>
  <c r="V5" i="9"/>
  <c r="AP5" i="9" s="1"/>
  <c r="V6" i="9"/>
  <c r="AP6" i="9" s="1"/>
  <c r="V7" i="9"/>
  <c r="V8" i="9"/>
  <c r="V9" i="9"/>
  <c r="AP9" i="9" s="1"/>
  <c r="V10" i="9"/>
  <c r="AP10" i="9" s="1"/>
  <c r="V11" i="9"/>
  <c r="V12" i="9"/>
  <c r="V13" i="9"/>
  <c r="AP13" i="9" s="1"/>
  <c r="V14" i="9"/>
  <c r="AP14" i="9" s="1"/>
  <c r="V15" i="9"/>
  <c r="V16" i="9"/>
  <c r="V17" i="9"/>
  <c r="AP17" i="9" s="1"/>
  <c r="V18" i="9"/>
  <c r="AP18" i="9" s="1"/>
  <c r="V19" i="9"/>
  <c r="V20" i="9"/>
  <c r="V21" i="9"/>
  <c r="AP21" i="9" s="1"/>
  <c r="V22" i="9"/>
  <c r="AP22" i="9" s="1"/>
  <c r="V23" i="9"/>
  <c r="V24" i="9"/>
  <c r="V25" i="9"/>
  <c r="AP25" i="9" s="1"/>
  <c r="V26" i="9"/>
  <c r="AP26" i="9" s="1"/>
  <c r="V27" i="9"/>
  <c r="V28" i="9"/>
  <c r="V29" i="9"/>
  <c r="AP29" i="9" s="1"/>
  <c r="V30" i="9"/>
  <c r="AP30" i="9" s="1"/>
  <c r="V31" i="9"/>
  <c r="V32" i="9"/>
  <c r="V33" i="9"/>
  <c r="AP33" i="9" s="1"/>
  <c r="V34" i="9"/>
  <c r="AP34" i="9" s="1"/>
  <c r="V35" i="9"/>
  <c r="V36" i="9"/>
  <c r="V37" i="9"/>
  <c r="AP37" i="9" s="1"/>
  <c r="V38" i="9"/>
  <c r="AP38" i="9" s="1"/>
  <c r="V39" i="9"/>
  <c r="V40" i="9"/>
  <c r="V41" i="9"/>
  <c r="AP41" i="9" s="1"/>
  <c r="V42" i="9"/>
  <c r="AP42" i="9" s="1"/>
  <c r="V43" i="9"/>
  <c r="V44" i="9"/>
  <c r="V45" i="9"/>
  <c r="AP45" i="9" s="1"/>
  <c r="V46" i="9"/>
  <c r="AP46" i="9" s="1"/>
  <c r="V47" i="9"/>
  <c r="V48" i="9"/>
  <c r="V49" i="9"/>
  <c r="AP49" i="9" s="1"/>
  <c r="V50" i="9"/>
  <c r="AP50" i="9" s="1"/>
  <c r="V51" i="9"/>
  <c r="V52" i="9"/>
  <c r="V53" i="9"/>
  <c r="AP53" i="9" s="1"/>
  <c r="V54" i="9"/>
  <c r="AP54" i="9" s="1"/>
  <c r="V55" i="9"/>
  <c r="V2" i="9"/>
  <c r="O3" i="9"/>
  <c r="AI3" i="9" s="1"/>
  <c r="O4" i="9"/>
  <c r="AI4" i="9" s="1"/>
  <c r="O5" i="9"/>
  <c r="O6" i="9"/>
  <c r="O7" i="9"/>
  <c r="AI7" i="9" s="1"/>
  <c r="O8" i="9"/>
  <c r="AI8" i="9" s="1"/>
  <c r="O9" i="9"/>
  <c r="O10" i="9"/>
  <c r="O11" i="9"/>
  <c r="AI11" i="9" s="1"/>
  <c r="O12" i="9"/>
  <c r="AI12" i="9" s="1"/>
  <c r="O13" i="9"/>
  <c r="O14" i="9"/>
  <c r="O15" i="9"/>
  <c r="AI15" i="9" s="1"/>
  <c r="O16" i="9"/>
  <c r="AI16" i="9" s="1"/>
  <c r="O17" i="9"/>
  <c r="O18" i="9"/>
  <c r="O19" i="9"/>
  <c r="AI19" i="9" s="1"/>
  <c r="O20" i="9"/>
  <c r="AI20" i="9" s="1"/>
  <c r="O21" i="9"/>
  <c r="O22" i="9"/>
  <c r="O23" i="9"/>
  <c r="AI23" i="9" s="1"/>
  <c r="O24" i="9"/>
  <c r="AI24" i="9" s="1"/>
  <c r="O25" i="9"/>
  <c r="O26" i="9"/>
  <c r="O27" i="9"/>
  <c r="AI27" i="9" s="1"/>
  <c r="O28" i="9"/>
  <c r="AI28" i="9" s="1"/>
  <c r="O29" i="9"/>
  <c r="O30" i="9"/>
  <c r="O31" i="9"/>
  <c r="AI31" i="9" s="1"/>
  <c r="O32" i="9"/>
  <c r="AI32" i="9" s="1"/>
  <c r="O33" i="9"/>
  <c r="O34" i="9"/>
  <c r="O35" i="9"/>
  <c r="AI35" i="9" s="1"/>
  <c r="O36" i="9"/>
  <c r="AI36" i="9" s="1"/>
  <c r="O37" i="9"/>
  <c r="O38" i="9"/>
  <c r="O39" i="9"/>
  <c r="AI39" i="9" s="1"/>
  <c r="O40" i="9"/>
  <c r="AI40" i="9" s="1"/>
  <c r="O41" i="9"/>
  <c r="O42" i="9"/>
  <c r="O43" i="9"/>
  <c r="AI43" i="9" s="1"/>
  <c r="O44" i="9"/>
  <c r="AI44" i="9" s="1"/>
  <c r="O45" i="9"/>
  <c r="O46" i="9"/>
  <c r="O47" i="9"/>
  <c r="AI47" i="9" s="1"/>
  <c r="O48" i="9"/>
  <c r="AI48" i="9" s="1"/>
  <c r="O49" i="9"/>
  <c r="O50" i="9"/>
  <c r="O51" i="9"/>
  <c r="AI51" i="9" s="1"/>
  <c r="O52" i="9"/>
  <c r="AI52" i="9" s="1"/>
  <c r="O53" i="9"/>
  <c r="O54" i="9"/>
  <c r="O55" i="9"/>
  <c r="AI55" i="9" s="1"/>
  <c r="O2" i="9"/>
  <c r="AI2" i="9" s="1"/>
  <c r="Z2" i="9" l="1"/>
  <c r="AC10" i="8"/>
  <c r="AB5" i="8"/>
  <c r="AB6" i="8"/>
  <c r="AB7" i="8"/>
  <c r="AB8" i="8"/>
  <c r="AB9" i="8"/>
  <c r="AB10" i="8"/>
  <c r="AR2" i="9" l="1"/>
  <c r="AO2" i="9"/>
  <c r="AM2" i="9"/>
  <c r="AK2" i="9"/>
  <c r="AN2" i="9"/>
  <c r="AJ2" i="9"/>
  <c r="AL2" i="9"/>
  <c r="M2" i="9"/>
  <c r="AG2" i="9" s="1"/>
  <c r="F82" i="1" l="1"/>
  <c r="F83" i="1"/>
  <c r="F81" i="1"/>
  <c r="F58" i="1"/>
  <c r="F26" i="1"/>
  <c r="F27" i="1"/>
  <c r="F25" i="1"/>
  <c r="F3" i="1"/>
  <c r="F4" i="1"/>
  <c r="F2" i="1"/>
  <c r="Z55" i="9" l="1"/>
  <c r="F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41" i="9"/>
  <c r="Z40" i="9"/>
  <c r="Z39" i="9"/>
  <c r="Z38" i="9"/>
  <c r="Z37" i="9"/>
  <c r="Z36" i="9"/>
  <c r="Z35" i="9"/>
  <c r="Z34" i="9"/>
  <c r="Z33" i="9"/>
  <c r="Z32" i="9"/>
  <c r="Z31" i="9"/>
  <c r="Z30" i="9"/>
  <c r="Z29" i="9"/>
  <c r="Z28" i="9"/>
  <c r="Z27" i="9"/>
  <c r="Z26" i="9"/>
  <c r="Z25" i="9"/>
  <c r="Z24" i="9"/>
  <c r="Z23" i="9"/>
  <c r="Z22" i="9"/>
  <c r="Z21" i="9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Z5" i="9"/>
  <c r="Z4" i="9"/>
  <c r="Z3" i="9"/>
  <c r="M41" i="9" l="1"/>
  <c r="AG41" i="9" s="1"/>
  <c r="AM41" i="9"/>
  <c r="AN41" i="9"/>
  <c r="AR41" i="9"/>
  <c r="AL41" i="9"/>
  <c r="AO41" i="9"/>
  <c r="AK41" i="9"/>
  <c r="AJ41" i="9"/>
  <c r="M34" i="9"/>
  <c r="AG34" i="9" s="1"/>
  <c r="AJ34" i="9"/>
  <c r="AK34" i="9"/>
  <c r="AN34" i="9"/>
  <c r="AR34" i="9"/>
  <c r="AO34" i="9"/>
  <c r="AM34" i="9"/>
  <c r="AL34" i="9"/>
  <c r="M42" i="9"/>
  <c r="AG42" i="9" s="1"/>
  <c r="AJ42" i="9"/>
  <c r="AK42" i="9"/>
  <c r="AN42" i="9"/>
  <c r="AR42" i="9"/>
  <c r="AL42" i="9"/>
  <c r="AO42" i="9"/>
  <c r="AM42" i="9"/>
  <c r="M50" i="9"/>
  <c r="AG50" i="9" s="1"/>
  <c r="AJ50" i="9"/>
  <c r="AK50" i="9"/>
  <c r="AN50" i="9"/>
  <c r="AR50" i="9"/>
  <c r="AO50" i="9"/>
  <c r="AM50" i="9"/>
  <c r="AL50" i="9"/>
  <c r="M3" i="9"/>
  <c r="AG3" i="9" s="1"/>
  <c r="AR3" i="9"/>
  <c r="AL3" i="9"/>
  <c r="AM3" i="9"/>
  <c r="AK3" i="9"/>
  <c r="AN3" i="9"/>
  <c r="AJ3" i="9"/>
  <c r="AO3" i="9"/>
  <c r="M11" i="9"/>
  <c r="AG11" i="9" s="1"/>
  <c r="AR11" i="9"/>
  <c r="AL11" i="9"/>
  <c r="AM11" i="9"/>
  <c r="AK11" i="9"/>
  <c r="AN11" i="9"/>
  <c r="AO11" i="9"/>
  <c r="AJ11" i="9"/>
  <c r="M19" i="9"/>
  <c r="AG19" i="9" s="1"/>
  <c r="AR19" i="9"/>
  <c r="AL19" i="9"/>
  <c r="AM19" i="9"/>
  <c r="AK19" i="9"/>
  <c r="AN19" i="9"/>
  <c r="AO19" i="9"/>
  <c r="AJ19" i="9"/>
  <c r="M27" i="9"/>
  <c r="AG27" i="9" s="1"/>
  <c r="AR27" i="9"/>
  <c r="AL27" i="9"/>
  <c r="AM27" i="9"/>
  <c r="AK27" i="9"/>
  <c r="AN27" i="9"/>
  <c r="AJ27" i="9"/>
  <c r="AO27" i="9"/>
  <c r="M35" i="9"/>
  <c r="AG35" i="9" s="1"/>
  <c r="AO35" i="9"/>
  <c r="AN35" i="9"/>
  <c r="AJ35" i="9"/>
  <c r="AR35" i="9"/>
  <c r="AM35" i="9"/>
  <c r="AL35" i="9"/>
  <c r="AK35" i="9"/>
  <c r="M43" i="9"/>
  <c r="AG43" i="9" s="1"/>
  <c r="AO43" i="9"/>
  <c r="AN43" i="9"/>
  <c r="AJ43" i="9"/>
  <c r="AM43" i="9"/>
  <c r="AR43" i="9"/>
  <c r="AL43" i="9"/>
  <c r="AK43" i="9"/>
  <c r="M51" i="9"/>
  <c r="AG51" i="9" s="1"/>
  <c r="AO51" i="9"/>
  <c r="AN51" i="9"/>
  <c r="AL51" i="9"/>
  <c r="AK51" i="9"/>
  <c r="AJ51" i="9"/>
  <c r="AR51" i="9"/>
  <c r="AM51" i="9"/>
  <c r="M25" i="9"/>
  <c r="AG25" i="9" s="1"/>
  <c r="AJ25" i="9"/>
  <c r="AK25" i="9"/>
  <c r="AN25" i="9"/>
  <c r="AR25" i="9"/>
  <c r="AL25" i="9"/>
  <c r="AO25" i="9"/>
  <c r="AM25" i="9"/>
  <c r="M12" i="9"/>
  <c r="AG12" i="9" s="1"/>
  <c r="AJ12" i="9"/>
  <c r="AM12" i="9"/>
  <c r="AR12" i="9"/>
  <c r="AO12" i="9"/>
  <c r="AK12" i="9"/>
  <c r="AN12" i="9"/>
  <c r="AL12" i="9"/>
  <c r="M9" i="9"/>
  <c r="AG9" i="9" s="1"/>
  <c r="AJ9" i="9"/>
  <c r="AK9" i="9"/>
  <c r="AN9" i="9"/>
  <c r="AR9" i="9"/>
  <c r="AL9" i="9"/>
  <c r="AO9" i="9"/>
  <c r="AM9" i="9"/>
  <c r="M33" i="9"/>
  <c r="AG33" i="9" s="1"/>
  <c r="AM33" i="9"/>
  <c r="AN33" i="9"/>
  <c r="AR33" i="9"/>
  <c r="AL33" i="9"/>
  <c r="AO33" i="9"/>
  <c r="AK33" i="9"/>
  <c r="AJ33" i="9"/>
  <c r="M18" i="9"/>
  <c r="AG18" i="9" s="1"/>
  <c r="AO18" i="9"/>
  <c r="AN18" i="9"/>
  <c r="AK18" i="9"/>
  <c r="AR18" i="9"/>
  <c r="AL18" i="9"/>
  <c r="AM18" i="9"/>
  <c r="AJ18" i="9"/>
  <c r="M4" i="9"/>
  <c r="AG4" i="9" s="1"/>
  <c r="AR4" i="9"/>
  <c r="AJ4" i="9"/>
  <c r="AM4" i="9"/>
  <c r="AN4" i="9"/>
  <c r="AL4" i="9"/>
  <c r="AK4" i="9"/>
  <c r="AO4" i="9"/>
  <c r="M20" i="9"/>
  <c r="AG20" i="9" s="1"/>
  <c r="AJ20" i="9"/>
  <c r="AM20" i="9"/>
  <c r="AO20" i="9"/>
  <c r="AR20" i="9"/>
  <c r="AL20" i="9"/>
  <c r="AK20" i="9"/>
  <c r="AN20" i="9"/>
  <c r="M36" i="9"/>
  <c r="AG36" i="9" s="1"/>
  <c r="AR36" i="9"/>
  <c r="AL36" i="9"/>
  <c r="AM36" i="9"/>
  <c r="AK36" i="9"/>
  <c r="AN36" i="9"/>
  <c r="AO36" i="9"/>
  <c r="AJ36" i="9"/>
  <c r="M52" i="9"/>
  <c r="AG52" i="9" s="1"/>
  <c r="AR52" i="9"/>
  <c r="AL52" i="9"/>
  <c r="AM52" i="9"/>
  <c r="AK52" i="9"/>
  <c r="AN52" i="9"/>
  <c r="AJ52" i="9"/>
  <c r="AO52" i="9"/>
  <c r="M5" i="9"/>
  <c r="AG5" i="9" s="1"/>
  <c r="AN5" i="9"/>
  <c r="AR5" i="9"/>
  <c r="AO5" i="9"/>
  <c r="AM5" i="9"/>
  <c r="AL5" i="9"/>
  <c r="AK5" i="9"/>
  <c r="AJ5" i="9"/>
  <c r="M13" i="9"/>
  <c r="AG13" i="9" s="1"/>
  <c r="AN13" i="9"/>
  <c r="AO13" i="9"/>
  <c r="AM13" i="9"/>
  <c r="AR13" i="9"/>
  <c r="AL13" i="9"/>
  <c r="AK13" i="9"/>
  <c r="AJ13" i="9"/>
  <c r="M21" i="9"/>
  <c r="AG21" i="9" s="1"/>
  <c r="AN21" i="9"/>
  <c r="AO21" i="9"/>
  <c r="AM21" i="9"/>
  <c r="AR21" i="9"/>
  <c r="AL21" i="9"/>
  <c r="AK21" i="9"/>
  <c r="AJ21" i="9"/>
  <c r="M29" i="9"/>
  <c r="AG29" i="9" s="1"/>
  <c r="AN29" i="9"/>
  <c r="AO29" i="9"/>
  <c r="AM29" i="9"/>
  <c r="AK29" i="9"/>
  <c r="AL29" i="9"/>
  <c r="AJ29" i="9"/>
  <c r="AR29" i="9"/>
  <c r="M37" i="9"/>
  <c r="AG37" i="9" s="1"/>
  <c r="AJ37" i="9"/>
  <c r="AM37" i="9"/>
  <c r="AK37" i="9"/>
  <c r="AR37" i="9"/>
  <c r="AN37" i="9"/>
  <c r="AO37" i="9"/>
  <c r="AL37" i="9"/>
  <c r="M45" i="9"/>
  <c r="AG45" i="9" s="1"/>
  <c r="AJ45" i="9"/>
  <c r="AM45" i="9"/>
  <c r="AN45" i="9"/>
  <c r="AL45" i="9"/>
  <c r="AO45" i="9"/>
  <c r="AR45" i="9"/>
  <c r="AK45" i="9"/>
  <c r="M53" i="9"/>
  <c r="AG53" i="9" s="1"/>
  <c r="AJ53" i="9"/>
  <c r="AO53" i="9"/>
  <c r="AM53" i="9"/>
  <c r="AL53" i="9"/>
  <c r="AK53" i="9"/>
  <c r="AN53" i="9"/>
  <c r="AR53" i="9"/>
  <c r="M17" i="9"/>
  <c r="AG17" i="9" s="1"/>
  <c r="AJ17" i="9"/>
  <c r="AK17" i="9"/>
  <c r="AN17" i="9"/>
  <c r="AR17" i="9"/>
  <c r="AO17" i="9"/>
  <c r="AM17" i="9"/>
  <c r="AL17" i="9"/>
  <c r="M49" i="9"/>
  <c r="AG49" i="9" s="1"/>
  <c r="AM49" i="9"/>
  <c r="AN49" i="9"/>
  <c r="AR49" i="9"/>
  <c r="AL49" i="9"/>
  <c r="AO49" i="9"/>
  <c r="AJ49" i="9"/>
  <c r="AK49" i="9"/>
  <c r="M10" i="9"/>
  <c r="AG10" i="9" s="1"/>
  <c r="AO10" i="9"/>
  <c r="AN10" i="9"/>
  <c r="AM10" i="9"/>
  <c r="AK10" i="9"/>
  <c r="AJ10" i="9"/>
  <c r="AR10" i="9"/>
  <c r="AL10" i="9"/>
  <c r="M28" i="9"/>
  <c r="AG28" i="9" s="1"/>
  <c r="AJ28" i="9"/>
  <c r="AM28" i="9"/>
  <c r="AN28" i="9"/>
  <c r="AL28" i="9"/>
  <c r="AK28" i="9"/>
  <c r="AR28" i="9"/>
  <c r="AO28" i="9"/>
  <c r="M44" i="9"/>
  <c r="AG44" i="9" s="1"/>
  <c r="AR44" i="9"/>
  <c r="AL44" i="9"/>
  <c r="AM44" i="9"/>
  <c r="AK44" i="9"/>
  <c r="AN44" i="9"/>
  <c r="AO44" i="9"/>
  <c r="AJ44" i="9"/>
  <c r="M6" i="9"/>
  <c r="AG6" i="9" s="1"/>
  <c r="AK6" i="9"/>
  <c r="AR6" i="9"/>
  <c r="AL6" i="9"/>
  <c r="AO6" i="9"/>
  <c r="AJ6" i="9"/>
  <c r="AM6" i="9"/>
  <c r="AN6" i="9"/>
  <c r="M14" i="9"/>
  <c r="AG14" i="9" s="1"/>
  <c r="AK14" i="9"/>
  <c r="AR14" i="9"/>
  <c r="AL14" i="9"/>
  <c r="AO14" i="9"/>
  <c r="AJ14" i="9"/>
  <c r="AM14" i="9"/>
  <c r="AN14" i="9"/>
  <c r="M22" i="9"/>
  <c r="AG22" i="9" s="1"/>
  <c r="AK22" i="9"/>
  <c r="AR22" i="9"/>
  <c r="AL22" i="9"/>
  <c r="AO22" i="9"/>
  <c r="AJ22" i="9"/>
  <c r="AM22" i="9"/>
  <c r="AN22" i="9"/>
  <c r="M30" i="9"/>
  <c r="AG30" i="9" s="1"/>
  <c r="AK30" i="9"/>
  <c r="AR30" i="9"/>
  <c r="AL30" i="9"/>
  <c r="AO30" i="9"/>
  <c r="AJ30" i="9"/>
  <c r="AM30" i="9"/>
  <c r="AN30" i="9"/>
  <c r="M38" i="9"/>
  <c r="AG38" i="9" s="1"/>
  <c r="AN38" i="9"/>
  <c r="AO38" i="9"/>
  <c r="AM38" i="9"/>
  <c r="AL38" i="9"/>
  <c r="AK38" i="9"/>
  <c r="AR38" i="9"/>
  <c r="AJ38" i="9"/>
  <c r="M46" i="9"/>
  <c r="AG46" i="9" s="1"/>
  <c r="AN46" i="9"/>
  <c r="AO46" i="9"/>
  <c r="AM46" i="9"/>
  <c r="AR46" i="9"/>
  <c r="AL46" i="9"/>
  <c r="AK46" i="9"/>
  <c r="AJ46" i="9"/>
  <c r="M54" i="9"/>
  <c r="AG54" i="9" s="1"/>
  <c r="AN54" i="9"/>
  <c r="AO54" i="9"/>
  <c r="AM54" i="9"/>
  <c r="AR54" i="9"/>
  <c r="AJ54" i="9"/>
  <c r="AL54" i="9"/>
  <c r="AK54" i="9"/>
  <c r="M7" i="9"/>
  <c r="AG7" i="9" s="1"/>
  <c r="AR7" i="9"/>
  <c r="AO7" i="9"/>
  <c r="AL7" i="9"/>
  <c r="AN7" i="9"/>
  <c r="AM7" i="9"/>
  <c r="AK7" i="9"/>
  <c r="AJ7" i="9"/>
  <c r="M15" i="9"/>
  <c r="AG15" i="9" s="1"/>
  <c r="AR15" i="9"/>
  <c r="AO15" i="9"/>
  <c r="AM15" i="9"/>
  <c r="AJ15" i="9"/>
  <c r="AL15" i="9"/>
  <c r="AK15" i="9"/>
  <c r="AN15" i="9"/>
  <c r="M23" i="9"/>
  <c r="AG23" i="9" s="1"/>
  <c r="AR23" i="9"/>
  <c r="AO23" i="9"/>
  <c r="AN23" i="9"/>
  <c r="AJ23" i="9"/>
  <c r="AM23" i="9"/>
  <c r="AL23" i="9"/>
  <c r="AK23" i="9"/>
  <c r="M31" i="9"/>
  <c r="AG31" i="9" s="1"/>
  <c r="AR31" i="9"/>
  <c r="AO31" i="9"/>
  <c r="AL31" i="9"/>
  <c r="AN31" i="9"/>
  <c r="AK31" i="9"/>
  <c r="AJ31" i="9"/>
  <c r="AM31" i="9"/>
  <c r="M39" i="9"/>
  <c r="AG39" i="9" s="1"/>
  <c r="AK39" i="9"/>
  <c r="AR39" i="9"/>
  <c r="AL39" i="9"/>
  <c r="AO39" i="9"/>
  <c r="AJ39" i="9"/>
  <c r="AM39" i="9"/>
  <c r="AN39" i="9"/>
  <c r="M47" i="9"/>
  <c r="AG47" i="9" s="1"/>
  <c r="AK47" i="9"/>
  <c r="AR47" i="9"/>
  <c r="AL47" i="9"/>
  <c r="AO47" i="9"/>
  <c r="AJ47" i="9"/>
  <c r="AM47" i="9"/>
  <c r="AN47" i="9"/>
  <c r="M26" i="9"/>
  <c r="AG26" i="9" s="1"/>
  <c r="AO26" i="9"/>
  <c r="AN26" i="9"/>
  <c r="AL26" i="9"/>
  <c r="AK26" i="9"/>
  <c r="AR26" i="9"/>
  <c r="AJ26" i="9"/>
  <c r="AM26" i="9"/>
  <c r="M8" i="9"/>
  <c r="AG8" i="9" s="1"/>
  <c r="AM8" i="9"/>
  <c r="AN8" i="9"/>
  <c r="AR8" i="9"/>
  <c r="AL8" i="9"/>
  <c r="AO8" i="9"/>
  <c r="AK8" i="9"/>
  <c r="AJ8" i="9"/>
  <c r="M16" i="9"/>
  <c r="AG16" i="9" s="1"/>
  <c r="AM16" i="9"/>
  <c r="AN16" i="9"/>
  <c r="AR16" i="9"/>
  <c r="AL16" i="9"/>
  <c r="AO16" i="9"/>
  <c r="AK16" i="9"/>
  <c r="AJ16" i="9"/>
  <c r="M24" i="9"/>
  <c r="AG24" i="9" s="1"/>
  <c r="AM24" i="9"/>
  <c r="AN24" i="9"/>
  <c r="AR24" i="9"/>
  <c r="AL24" i="9"/>
  <c r="AO24" i="9"/>
  <c r="AK24" i="9"/>
  <c r="AJ24" i="9"/>
  <c r="M40" i="9"/>
  <c r="AG40" i="9" s="1"/>
  <c r="AR40" i="9"/>
  <c r="AO40" i="9"/>
  <c r="AL40" i="9"/>
  <c r="AM40" i="9"/>
  <c r="AK40" i="9"/>
  <c r="AJ40" i="9"/>
  <c r="AN40" i="9"/>
  <c r="M48" i="9"/>
  <c r="AG48" i="9" s="1"/>
  <c r="AR48" i="9"/>
  <c r="AO48" i="9"/>
  <c r="AJ48" i="9"/>
  <c r="AM48" i="9"/>
  <c r="AN48" i="9"/>
  <c r="AL48" i="9"/>
  <c r="AK48" i="9"/>
  <c r="M55" i="9"/>
  <c r="AG55" i="9" s="1"/>
  <c r="AK55" i="9"/>
  <c r="AR55" i="9"/>
  <c r="AL55" i="9"/>
  <c r="AO55" i="9"/>
  <c r="AJ55" i="9"/>
  <c r="AM55" i="9"/>
  <c r="AN55" i="9"/>
  <c r="M32" i="9"/>
  <c r="AG32" i="9" s="1"/>
  <c r="AL32" i="9"/>
  <c r="AM32" i="9"/>
  <c r="AK32" i="9"/>
  <c r="AR32" i="9"/>
  <c r="AN32" i="9"/>
  <c r="AJ32" i="9"/>
  <c r="AO32" i="9"/>
  <c r="N41" i="9"/>
  <c r="AH41" i="9" s="1"/>
  <c r="N2" i="9"/>
  <c r="AH2" i="9" s="1"/>
  <c r="N50" i="9" l="1"/>
  <c r="AH50" i="9" s="1"/>
  <c r="N25" i="9"/>
  <c r="AH25" i="9" s="1"/>
  <c r="N37" i="9"/>
  <c r="AH37" i="9" s="1"/>
  <c r="N13" i="9"/>
  <c r="AH13" i="9" s="1"/>
  <c r="N51" i="9"/>
  <c r="AH51" i="9" s="1"/>
  <c r="N42" i="9"/>
  <c r="AH42" i="9" s="1"/>
  <c r="N27" i="9"/>
  <c r="AH27" i="9" s="1"/>
  <c r="N9" i="9"/>
  <c r="AH9" i="9" s="1"/>
  <c r="N35" i="9"/>
  <c r="AH35" i="9" s="1"/>
  <c r="N33" i="9"/>
  <c r="AH33" i="9" s="1"/>
  <c r="N3" i="9"/>
  <c r="AH3" i="9" s="1"/>
  <c r="N4" i="9"/>
  <c r="AH4" i="9" s="1"/>
  <c r="N12" i="9"/>
  <c r="AH12" i="9" s="1"/>
  <c r="N34" i="9"/>
  <c r="AH34" i="9" s="1"/>
  <c r="N23" i="9"/>
  <c r="AH23" i="9" s="1"/>
  <c r="N21" i="9"/>
  <c r="AH21" i="9" s="1"/>
  <c r="N39" i="9"/>
  <c r="AH39" i="9" s="1"/>
  <c r="N18" i="9"/>
  <c r="AH18" i="9" s="1"/>
  <c r="N43" i="9"/>
  <c r="AH43" i="9" s="1"/>
  <c r="N45" i="9"/>
  <c r="AH45" i="9" s="1"/>
  <c r="N52" i="9"/>
  <c r="AH52" i="9" s="1"/>
  <c r="N36" i="9"/>
  <c r="AH36" i="9" s="1"/>
  <c r="N29" i="9"/>
  <c r="AH29" i="9" s="1"/>
  <c r="N54" i="9"/>
  <c r="AH54" i="9" s="1"/>
  <c r="N19" i="9"/>
  <c r="AH19" i="9" s="1"/>
  <c r="N24" i="9"/>
  <c r="AH24" i="9" s="1"/>
  <c r="N20" i="9"/>
  <c r="AH20" i="9" s="1"/>
  <c r="N5" i="9"/>
  <c r="AH5" i="9" s="1"/>
  <c r="N38" i="9"/>
  <c r="AH38" i="9" s="1"/>
  <c r="N11" i="9"/>
  <c r="AH11" i="9" s="1"/>
  <c r="N8" i="9"/>
  <c r="AH8" i="9" s="1"/>
  <c r="N28" i="9"/>
  <c r="AH28" i="9" s="1"/>
  <c r="N14" i="9"/>
  <c r="AH14" i="9" s="1"/>
  <c r="N22" i="9"/>
  <c r="AH22" i="9" s="1"/>
  <c r="N17" i="9"/>
  <c r="AH17" i="9" s="1"/>
  <c r="N16" i="9"/>
  <c r="AH16" i="9" s="1"/>
  <c r="N31" i="9"/>
  <c r="AH31" i="9" s="1"/>
  <c r="N44" i="9"/>
  <c r="AH44" i="9" s="1"/>
  <c r="N46" i="9"/>
  <c r="AH46" i="9" s="1"/>
  <c r="N15" i="9"/>
  <c r="AH15" i="9" s="1"/>
  <c r="N7" i="9"/>
  <c r="AH7" i="9" s="1"/>
  <c r="N53" i="9"/>
  <c r="AH53" i="9" s="1"/>
  <c r="N6" i="9"/>
  <c r="AH6" i="9" s="1"/>
  <c r="N55" i="9"/>
  <c r="AH55" i="9" s="1"/>
  <c r="N26" i="9"/>
  <c r="AH26" i="9" s="1"/>
  <c r="N30" i="9"/>
  <c r="AH30" i="9" s="1"/>
  <c r="N49" i="9"/>
  <c r="AH49" i="9" s="1"/>
  <c r="N48" i="9"/>
  <c r="AH48" i="9" s="1"/>
  <c r="N40" i="9"/>
  <c r="AH40" i="9" s="1"/>
  <c r="N47" i="9"/>
  <c r="AH47" i="9" s="1"/>
  <c r="N10" i="9"/>
  <c r="AH10" i="9" s="1"/>
  <c r="N32" i="9"/>
  <c r="AH32" i="9" s="1"/>
  <c r="F125" i="1"/>
  <c r="F50" i="9" s="1"/>
  <c r="F121" i="1"/>
  <c r="F120" i="1"/>
  <c r="F54" i="9" s="1"/>
  <c r="F119" i="1"/>
  <c r="F53" i="9" s="1"/>
  <c r="F115" i="1"/>
  <c r="F49" i="9" s="1"/>
  <c r="F114" i="1"/>
  <c r="F48" i="9" s="1"/>
  <c r="F113" i="1"/>
  <c r="F47" i="9" s="1"/>
  <c r="F112" i="1"/>
  <c r="F46" i="9" s="1"/>
  <c r="F111" i="1"/>
  <c r="F45" i="9" s="1"/>
  <c r="F110" i="1"/>
  <c r="F44" i="9" s="1"/>
  <c r="F109" i="1"/>
  <c r="F43" i="9" s="1"/>
  <c r="F108" i="1"/>
  <c r="F42" i="9" s="1"/>
  <c r="F107" i="1"/>
  <c r="F41" i="9" s="1"/>
  <c r="F106" i="1"/>
  <c r="F40" i="9" s="1"/>
  <c r="F102" i="1"/>
  <c r="F39" i="9" s="1"/>
  <c r="F101" i="1"/>
  <c r="F38" i="9" s="1"/>
  <c r="F100" i="1"/>
  <c r="F37" i="9" s="1"/>
  <c r="F99" i="1"/>
  <c r="F36" i="9" s="1"/>
  <c r="F92" i="1"/>
  <c r="F35" i="9" s="1"/>
  <c r="F91" i="1"/>
  <c r="F34" i="9" s="1"/>
  <c r="F90" i="1"/>
  <c r="F33" i="9" s="1"/>
  <c r="F89" i="1"/>
  <c r="F32" i="9" s="1"/>
  <c r="F88" i="1"/>
  <c r="F31" i="9" s="1"/>
  <c r="F87" i="1"/>
  <c r="F30" i="9" s="1"/>
  <c r="F29" i="9"/>
  <c r="F75" i="1"/>
  <c r="F27" i="9" s="1"/>
  <c r="F74" i="1"/>
  <c r="F26" i="9" s="1"/>
  <c r="F73" i="1"/>
  <c r="F25" i="9" s="1"/>
  <c r="F72" i="1"/>
  <c r="F24" i="9" s="1"/>
  <c r="F64" i="1"/>
  <c r="F23" i="9" s="1"/>
  <c r="F63" i="1"/>
  <c r="F62" i="1"/>
  <c r="F51" i="9"/>
  <c r="F57" i="1"/>
  <c r="F21" i="9" s="1"/>
  <c r="F56" i="1"/>
  <c r="F20" i="9" s="1"/>
  <c r="F55" i="1"/>
  <c r="F19" i="9" s="1"/>
  <c r="F54" i="1"/>
  <c r="F18" i="9" s="1"/>
  <c r="F50" i="1"/>
  <c r="F17" i="9" s="1"/>
  <c r="F49" i="1"/>
  <c r="F16" i="9" s="1"/>
  <c r="F48" i="1"/>
  <c r="F15" i="9" s="1"/>
  <c r="F47" i="1"/>
  <c r="F14" i="9" s="1"/>
  <c r="F33" i="1"/>
  <c r="F37" i="1" s="1"/>
  <c r="F32" i="1"/>
  <c r="F31" i="1"/>
  <c r="F10" i="9"/>
  <c r="F9" i="9"/>
  <c r="F8" i="9"/>
  <c r="F20" i="1"/>
  <c r="F7" i="9" s="1"/>
  <c r="F19" i="1"/>
  <c r="F6" i="9" s="1"/>
  <c r="F18" i="1"/>
  <c r="F5" i="9" s="1"/>
  <c r="F4" i="9"/>
  <c r="F3" i="9"/>
  <c r="F2" i="9"/>
  <c r="F40" i="1" l="1"/>
  <c r="F38" i="1"/>
  <c r="F12" i="9"/>
  <c r="F39" i="1"/>
  <c r="F41" i="1"/>
  <c r="F28" i="9"/>
  <c r="F11" i="9"/>
  <c r="F35" i="1"/>
  <c r="F22" i="9"/>
  <c r="F68" i="1"/>
  <c r="F67" i="1"/>
  <c r="F65" i="1"/>
  <c r="F52" i="9"/>
  <c r="F66" i="1"/>
  <c r="F13" i="9"/>
  <c r="F36" i="1"/>
  <c r="L106" i="1" l="1"/>
  <c r="H7" i="4" l="1"/>
  <c r="R13" i="4" l="1"/>
  <c r="G3" i="1" l="1"/>
  <c r="G4" i="1" s="1"/>
  <c r="G5" i="1" l="1"/>
  <c r="G7" i="1" s="1"/>
  <c r="G8" i="1" s="1"/>
  <c r="G9" i="1" s="1"/>
  <c r="G10" i="1" s="1"/>
  <c r="E7" i="4"/>
  <c r="N26" i="4" l="1"/>
  <c r="W10" i="4"/>
  <c r="P24" i="4"/>
  <c r="P20" i="4"/>
  <c r="P26" i="4"/>
  <c r="AG28" i="4"/>
  <c r="AG24" i="4"/>
  <c r="AG22" i="4"/>
  <c r="AG26" i="4"/>
  <c r="AG20" i="4"/>
  <c r="AG17" i="4"/>
  <c r="AG15" i="4"/>
  <c r="AG13" i="4"/>
  <c r="AG11" i="4"/>
  <c r="AG9" i="4"/>
  <c r="AG10" i="4"/>
  <c r="AG8" i="4"/>
  <c r="X26" i="4"/>
  <c r="X10" i="4"/>
  <c r="X11" i="4"/>
  <c r="X24" i="4"/>
  <c r="X9" i="4"/>
  <c r="X22" i="4"/>
  <c r="X8" i="4"/>
  <c r="X15" i="4"/>
  <c r="X13" i="4"/>
  <c r="X20" i="4"/>
  <c r="X17" i="4"/>
  <c r="X28" i="4"/>
  <c r="G11" i="1"/>
  <c r="E8" i="4"/>
  <c r="N8" i="4" s="1"/>
  <c r="D7" i="4"/>
  <c r="G12" i="1" l="1"/>
  <c r="G13" i="1" s="1"/>
  <c r="G14" i="1" s="1"/>
  <c r="G16" i="1" s="1"/>
  <c r="G17" i="1" s="1"/>
  <c r="G18" i="1" s="1"/>
  <c r="G19" i="1" s="1"/>
  <c r="G20" i="1" s="1"/>
  <c r="AF8" i="4"/>
  <c r="W8" i="4"/>
  <c r="O8" i="4"/>
  <c r="Y8" i="4"/>
  <c r="AH8" i="4"/>
  <c r="D8" i="4"/>
  <c r="G21" i="1" l="1"/>
  <c r="G22" i="1" s="1"/>
  <c r="G23" i="1" s="1"/>
  <c r="G24" i="1" s="1"/>
  <c r="G25" i="1" s="1"/>
  <c r="H8" i="4"/>
  <c r="G26" i="1" l="1"/>
  <c r="G27" i="1" s="1"/>
  <c r="G29" i="1" s="1"/>
  <c r="G30" i="1" s="1"/>
  <c r="G31" i="1" s="1"/>
  <c r="E9" i="4"/>
  <c r="AF9" i="4" l="1"/>
  <c r="N9" i="4"/>
  <c r="W15" i="4"/>
  <c r="W9" i="4"/>
  <c r="O9" i="4"/>
  <c r="AH9" i="4"/>
  <c r="D9" i="4"/>
  <c r="Y9" i="4"/>
  <c r="Y13" i="4"/>
  <c r="G32" i="1"/>
  <c r="G33" i="1" s="1"/>
  <c r="G34" i="1" s="1"/>
  <c r="G35" i="1" s="1"/>
  <c r="G36" i="1" s="1"/>
  <c r="G37" i="1" s="1"/>
  <c r="G38" i="1" s="1"/>
  <c r="G39" i="1" s="1"/>
  <c r="G40" i="1" s="1"/>
  <c r="G41" i="1" s="1"/>
  <c r="G45" i="1" s="1"/>
  <c r="G46" i="1" s="1"/>
  <c r="G47" i="1" s="1"/>
  <c r="G48" i="1" s="1"/>
  <c r="G49" i="1" s="1"/>
  <c r="E10" i="4"/>
  <c r="AF10" i="4" s="1"/>
  <c r="O10" i="4" l="1"/>
  <c r="N10" i="4"/>
  <c r="H9" i="4"/>
  <c r="AH10" i="4"/>
  <c r="Y10" i="4"/>
  <c r="D10" i="4"/>
  <c r="G50" i="1"/>
  <c r="G52" i="1" s="1"/>
  <c r="G53" i="1" s="1"/>
  <c r="G54" i="1" s="1"/>
  <c r="G55" i="1" s="1"/>
  <c r="G56" i="1" s="1"/>
  <c r="G57" i="1" s="1"/>
  <c r="G58" i="1" s="1"/>
  <c r="G60" i="1" s="1"/>
  <c r="G61" i="1" s="1"/>
  <c r="G62" i="1" s="1"/>
  <c r="G63" i="1" s="1"/>
  <c r="G64" i="1" s="1"/>
  <c r="E11" i="4"/>
  <c r="W11" i="4" l="1"/>
  <c r="AF11" i="4"/>
  <c r="O11" i="4"/>
  <c r="N11" i="4"/>
  <c r="E13" i="4"/>
  <c r="H10" i="4"/>
  <c r="G65" i="1"/>
  <c r="G66" i="1" s="1"/>
  <c r="G67" i="1" s="1"/>
  <c r="G68" i="1" s="1"/>
  <c r="G70" i="1" s="1"/>
  <c r="G71" i="1" s="1"/>
  <c r="G72" i="1" s="1"/>
  <c r="G73" i="1" s="1"/>
  <c r="G74" i="1" s="1"/>
  <c r="G75" i="1" s="1"/>
  <c r="G76" i="1" s="1"/>
  <c r="G77" i="1" s="1"/>
  <c r="G79" i="1" s="1"/>
  <c r="G80" i="1" s="1"/>
  <c r="E15" i="4"/>
  <c r="AH11" i="4"/>
  <c r="D11" i="4"/>
  <c r="Y11" i="4"/>
  <c r="N15" i="4" l="1"/>
  <c r="AF15" i="4"/>
  <c r="W13" i="4"/>
  <c r="AF13" i="4"/>
  <c r="O13" i="4"/>
  <c r="N13" i="4"/>
  <c r="O15" i="4"/>
  <c r="E17" i="4"/>
  <c r="Q13" i="4"/>
  <c r="T13" i="4"/>
  <c r="Y15" i="4"/>
  <c r="AC13" i="4"/>
  <c r="AB13" i="4"/>
  <c r="AP13" i="4"/>
  <c r="AA13" i="4"/>
  <c r="Z13" i="4"/>
  <c r="AH13" i="4"/>
  <c r="AD13" i="4"/>
  <c r="D13" i="4"/>
  <c r="P13" i="4"/>
  <c r="AI13" i="4"/>
  <c r="AH15" i="4"/>
  <c r="AJ13" i="4"/>
  <c r="AO13" i="4"/>
  <c r="AM15" i="4"/>
  <c r="AI15" i="4"/>
  <c r="AJ15" i="4"/>
  <c r="AL15" i="4"/>
  <c r="H11" i="4"/>
  <c r="AC15" i="4"/>
  <c r="S15" i="4"/>
  <c r="AA15" i="4"/>
  <c r="U15" i="4"/>
  <c r="T15" i="4"/>
  <c r="Z15" i="4"/>
  <c r="D15" i="4"/>
  <c r="AD15" i="4"/>
  <c r="G81" i="1"/>
  <c r="G82" i="1" s="1"/>
  <c r="G83" i="1" s="1"/>
  <c r="G85" i="1" s="1"/>
  <c r="G86" i="1" s="1"/>
  <c r="E20" i="4"/>
  <c r="AF20" i="4" l="1"/>
  <c r="AF17" i="4"/>
  <c r="N17" i="4"/>
  <c r="W20" i="4"/>
  <c r="W17" i="4"/>
  <c r="O20" i="4"/>
  <c r="N20" i="4"/>
  <c r="O17" i="4"/>
  <c r="Y20" i="4"/>
  <c r="R22" i="4"/>
  <c r="AH17" i="4"/>
  <c r="R26" i="4"/>
  <c r="Z20" i="4"/>
  <c r="D17" i="4"/>
  <c r="Y17" i="4"/>
  <c r="Q20" i="4"/>
  <c r="H13" i="4"/>
  <c r="H15" i="4"/>
  <c r="AA20" i="4"/>
  <c r="AH20" i="4"/>
  <c r="AM20" i="4"/>
  <c r="AN20" i="4"/>
  <c r="AK20" i="4"/>
  <c r="AL20" i="4"/>
  <c r="AO20" i="4"/>
  <c r="AP20" i="4"/>
  <c r="AJ20" i="4"/>
  <c r="AI20" i="4"/>
  <c r="D20" i="4"/>
  <c r="G87" i="1"/>
  <c r="G88" i="1" s="1"/>
  <c r="G89" i="1" s="1"/>
  <c r="G90" i="1" s="1"/>
  <c r="G91" i="1" s="1"/>
  <c r="G92" i="1" s="1"/>
  <c r="G93" i="1" s="1"/>
  <c r="G94" i="1" s="1"/>
  <c r="G95" i="1" l="1"/>
  <c r="G97" i="1" s="1"/>
  <c r="G98" i="1" s="1"/>
  <c r="H17" i="4"/>
  <c r="E22" i="4"/>
  <c r="H20" i="4"/>
  <c r="W22" i="4" l="1"/>
  <c r="AF22" i="4"/>
  <c r="O22" i="4"/>
  <c r="N22" i="4"/>
  <c r="G99" i="1"/>
  <c r="G100" i="1" s="1"/>
  <c r="G101" i="1" s="1"/>
  <c r="G102" i="1" s="1"/>
  <c r="G104" i="1" s="1"/>
  <c r="G105" i="1" s="1"/>
  <c r="G106" i="1" s="1"/>
  <c r="G107" i="1" s="1"/>
  <c r="G108" i="1" s="1"/>
  <c r="G109" i="1" s="1"/>
  <c r="E24" i="4"/>
  <c r="AN22" i="4"/>
  <c r="AO22" i="4"/>
  <c r="AP22" i="4"/>
  <c r="AH22" i="4"/>
  <c r="T22" i="4"/>
  <c r="AA22" i="4"/>
  <c r="AM22" i="4"/>
  <c r="Y22" i="4"/>
  <c r="AI22" i="4"/>
  <c r="Z22" i="4"/>
  <c r="AK22" i="4"/>
  <c r="AB22" i="4"/>
  <c r="D22" i="4"/>
  <c r="AJ22" i="4"/>
  <c r="AL22" i="4"/>
  <c r="G110" i="1"/>
  <c r="G111" i="1" s="1"/>
  <c r="G112" i="1" s="1"/>
  <c r="G113" i="1" s="1"/>
  <c r="G114" i="1" s="1"/>
  <c r="G115" i="1" s="1"/>
  <c r="G117" i="1" s="1"/>
  <c r="G118" i="1" s="1"/>
  <c r="AF24" i="4" l="1"/>
  <c r="N24" i="4"/>
  <c r="AH24" i="4"/>
  <c r="W24" i="4"/>
  <c r="R24" i="4"/>
  <c r="O24" i="4"/>
  <c r="T24" i="4"/>
  <c r="D24" i="4"/>
  <c r="Q24" i="4"/>
  <c r="U24" i="4"/>
  <c r="AI24" i="4"/>
  <c r="Z24" i="4"/>
  <c r="S24" i="4"/>
  <c r="AJ24" i="4"/>
  <c r="Y24" i="4"/>
  <c r="E26" i="4"/>
  <c r="AF26" i="4" s="1"/>
  <c r="H22" i="4"/>
  <c r="G119" i="1"/>
  <c r="G120" i="1" s="1"/>
  <c r="G121" i="1" s="1"/>
  <c r="G123" i="1" s="1"/>
  <c r="G124" i="1" s="1"/>
  <c r="E28" i="4"/>
  <c r="AF28" i="4" l="1"/>
  <c r="W28" i="4"/>
  <c r="W26" i="4"/>
  <c r="H24" i="4"/>
  <c r="O28" i="4"/>
  <c r="N28" i="4"/>
  <c r="O26" i="4"/>
  <c r="AN26" i="4"/>
  <c r="AO26" i="4"/>
  <c r="AP26" i="4"/>
  <c r="AJ26" i="4"/>
  <c r="AK26" i="4"/>
  <c r="AI26" i="4"/>
  <c r="AL26" i="4"/>
  <c r="AH26" i="4"/>
  <c r="S26" i="4"/>
  <c r="Q26" i="4"/>
  <c r="D26" i="4"/>
  <c r="Y26" i="4"/>
  <c r="AO28" i="4"/>
  <c r="AP28" i="4"/>
  <c r="AI28" i="4"/>
  <c r="AK28" i="4"/>
  <c r="AL28" i="4"/>
  <c r="AH28" i="4"/>
  <c r="AN28" i="4"/>
  <c r="AJ28" i="4"/>
  <c r="AM28" i="4"/>
  <c r="AA28" i="4"/>
  <c r="Y28" i="4"/>
  <c r="AB28" i="4"/>
  <c r="AC28" i="4"/>
  <c r="Z28" i="4"/>
  <c r="D28" i="4"/>
  <c r="G125" i="1"/>
  <c r="G126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E29" i="4"/>
  <c r="O29" i="4" l="1"/>
  <c r="W29" i="4"/>
  <c r="N29" i="4"/>
  <c r="AF29" i="4"/>
  <c r="H26" i="4"/>
  <c r="H28" i="4"/>
  <c r="D29" i="4"/>
  <c r="G144" i="1"/>
  <c r="G145" i="1" s="1"/>
  <c r="G146" i="1" s="1"/>
  <c r="G147" i="1" s="1"/>
  <c r="G148" i="1" s="1"/>
  <c r="G149" i="1" s="1"/>
  <c r="G150" i="1" s="1"/>
  <c r="G151" i="1" s="1"/>
  <c r="G153" i="1" s="1"/>
  <c r="G154" i="1" s="1"/>
  <c r="E30" i="4"/>
  <c r="AF30" i="4" l="1"/>
  <c r="W30" i="4"/>
  <c r="N30" i="4"/>
  <c r="O30" i="4"/>
  <c r="H29" i="4"/>
  <c r="D30" i="4"/>
  <c r="G155" i="1"/>
  <c r="E31" i="4"/>
  <c r="O31" i="4" l="1"/>
  <c r="W31" i="4"/>
  <c r="N31" i="4"/>
  <c r="H30" i="4"/>
  <c r="D31" i="4"/>
  <c r="F35" i="4" s="1"/>
  <c r="O1" i="1"/>
  <c r="P2" i="1"/>
  <c r="AF31" i="4" l="1"/>
  <c r="H31" i="4" s="1"/>
  <c r="H38" i="4" s="1"/>
  <c r="H40" i="4" l="1"/>
  <c r="H42" i="4" s="1"/>
  <c r="P3" i="1"/>
  <c r="P20" i="1"/>
  <c r="P19" i="1"/>
  <c r="P18" i="1"/>
  <c r="P17" i="1"/>
  <c r="P16" i="1"/>
  <c r="P15" i="1"/>
  <c r="P11" i="1"/>
  <c r="P10" i="1"/>
  <c r="P9" i="1"/>
  <c r="P8" i="1"/>
  <c r="P7" i="1"/>
  <c r="P6" i="1"/>
  <c r="P5" i="1"/>
  <c r="P4" i="1"/>
  <c r="P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Rafal Kisielinski</author>
  </authors>
  <commentList>
    <comment ref="B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Rafal Kisielinski:</t>
        </r>
        <r>
          <rPr>
            <sz val="9"/>
            <color indexed="81"/>
            <rFont val="Tahoma"/>
            <family val="2"/>
          </rPr>
          <t xml:space="preserve">
Agree with Desi</t>
        </r>
      </text>
    </comment>
  </commentList>
</comments>
</file>

<file path=xl/sharedStrings.xml><?xml version="1.0" encoding="utf-8"?>
<sst xmlns="http://schemas.openxmlformats.org/spreadsheetml/2006/main" count="1536" uniqueCount="540">
  <si>
    <t>AU_M1_A</t>
  </si>
  <si>
    <t>Pricing Dependencies</t>
  </si>
  <si>
    <t>Pricing from SCBA Configurator 2018_EUR_Europe_V04_SourcePCT18</t>
  </si>
  <si>
    <t>RE</t>
  </si>
  <si>
    <t>RE- Set with removable 2nd stg</t>
  </si>
  <si>
    <t>AU_M1_A_PRI_RE</t>
  </si>
  <si>
    <t>isntructions packaging base price</t>
  </si>
  <si>
    <t>FI</t>
  </si>
  <si>
    <t>FI- Set with fixed 2nd Stg</t>
  </si>
  <si>
    <t>AU_M1_A_PRI_FI</t>
  </si>
  <si>
    <t>WO</t>
  </si>
  <si>
    <t>WO- Set without 2nd Stg</t>
  </si>
  <si>
    <t>AU_M1_A_PRI_WO</t>
  </si>
  <si>
    <t xml:space="preserve">LO </t>
  </si>
  <si>
    <t>LO- M1 LGDV only</t>
  </si>
  <si>
    <t>AU_M1_A_PRI_LO</t>
  </si>
  <si>
    <t>AU_M1_B</t>
  </si>
  <si>
    <t>BN</t>
  </si>
  <si>
    <t>BN-NO SLECETION</t>
  </si>
  <si>
    <t>no pricing</t>
  </si>
  <si>
    <t>C3</t>
  </si>
  <si>
    <t>C3- CE EN137 (-30°C)</t>
  </si>
  <si>
    <t>C4</t>
  </si>
  <si>
    <t>C4- CE EN137 (-40°C)</t>
  </si>
  <si>
    <t>G4</t>
  </si>
  <si>
    <t>G4- EAC (-40°C)</t>
  </si>
  <si>
    <t>AU_M1_C</t>
  </si>
  <si>
    <t>CNN</t>
  </si>
  <si>
    <t>CNN-NO SELECTION</t>
  </si>
  <si>
    <t>BNA</t>
  </si>
  <si>
    <t>BNA-BACKPLATE NON ADJ</t>
  </si>
  <si>
    <t>AU_M1_C_PRI_BNA</t>
  </si>
  <si>
    <t>PRO 304€</t>
  </si>
  <si>
    <t>BSO</t>
  </si>
  <si>
    <t>BSO-BACKPLATE SWIVEL</t>
  </si>
  <si>
    <t>AU_M1_C_PRI_BSO</t>
  </si>
  <si>
    <t>MAX 487€ + SW 60€</t>
  </si>
  <si>
    <t>BSH</t>
  </si>
  <si>
    <t>BSH-BACKPL SWIVEL HEIGHT ADJ</t>
  </si>
  <si>
    <t>AU_M1_C_PRI_BSH</t>
  </si>
  <si>
    <t>MST 511€ + SW 60€</t>
  </si>
  <si>
    <t>FBS</t>
  </si>
  <si>
    <t>FBS-ALPHAFP BASIC STD</t>
  </si>
  <si>
    <t>AU_M1_C_PRI_FBS</t>
  </si>
  <si>
    <t>FBS 524€</t>
  </si>
  <si>
    <t>FBL</t>
  </si>
  <si>
    <t>FBL-ALPHAFP BASIC LARGE</t>
  </si>
  <si>
    <t>AU_M1_C_PRI_FBL</t>
  </si>
  <si>
    <t>FBL 524€</t>
  </si>
  <si>
    <t>FPS</t>
  </si>
  <si>
    <t>FPS-ALPHAFP PRO STD</t>
  </si>
  <si>
    <t>AU_M1_C_PRI_FPS</t>
  </si>
  <si>
    <t>FPS 582€</t>
  </si>
  <si>
    <t>FPL</t>
  </si>
  <si>
    <t>FPL-ALPHAFP PRO LARGE</t>
  </si>
  <si>
    <t>AU_M1_C_PRI_FPL</t>
  </si>
  <si>
    <t>FPL 582€</t>
  </si>
  <si>
    <t>ABB</t>
  </si>
  <si>
    <t>ABB-ALPHABELT BASIC</t>
  </si>
  <si>
    <t>AU_M1_C_PRI_ABB</t>
  </si>
  <si>
    <t>APP  429€</t>
  </si>
  <si>
    <t>ABP</t>
  </si>
  <si>
    <t>ABP-ALPHABELT PRO</t>
  </si>
  <si>
    <t>AU_M1_C_PRI_ABP</t>
  </si>
  <si>
    <t>ABM  545€</t>
  </si>
  <si>
    <t>ABS</t>
  </si>
  <si>
    <t>ABS-ALPHABELT PRO-SWIVEL</t>
  </si>
  <si>
    <t>AU_M1_C_PRI_ABS</t>
  </si>
  <si>
    <t>APM 609€</t>
  </si>
  <si>
    <t>AU_M1_D</t>
  </si>
  <si>
    <t>DN</t>
  </si>
  <si>
    <t>DN- NO ADD ONS</t>
  </si>
  <si>
    <t>DB</t>
  </si>
  <si>
    <t>DB- BUMPER</t>
  </si>
  <si>
    <t>AU_M1_D_PRI_DB</t>
  </si>
  <si>
    <t>B 13€</t>
  </si>
  <si>
    <t>DV</t>
  </si>
  <si>
    <t>DV- VALVE PROTECTION</t>
  </si>
  <si>
    <t>AU_M1_D_PRI_DV</t>
  </si>
  <si>
    <t>V 119€</t>
  </si>
  <si>
    <t>DR</t>
  </si>
  <si>
    <t>DR- RESCUE HANDLE</t>
  </si>
  <si>
    <t>AU_M1_D_PRI_DR</t>
  </si>
  <si>
    <t>H 89€</t>
  </si>
  <si>
    <t>DA</t>
  </si>
  <si>
    <t>DA- AE STRAP</t>
  </si>
  <si>
    <t>AU_M1_D_PRI_DA</t>
  </si>
  <si>
    <t>BR</t>
  </si>
  <si>
    <t>BR- BUMPER-RESCUE</t>
  </si>
  <si>
    <t>AU_M1_D_PRI_DB, AU_M1_D_PRI_DR</t>
  </si>
  <si>
    <t>B 13€ + H 89€</t>
  </si>
  <si>
    <t>VR</t>
  </si>
  <si>
    <t>VR- VALVE-RESCUE</t>
  </si>
  <si>
    <t>AU_M1_D_PRI_DV, AU_M1_D_PRI_DR</t>
  </si>
  <si>
    <t>V 119€ + H 89€</t>
  </si>
  <si>
    <t>ER</t>
  </si>
  <si>
    <t>ER- AE STRAP-RESCUE</t>
  </si>
  <si>
    <t>AU_M1_D_PRI_DR, AU_M1_D_PRI_DA</t>
  </si>
  <si>
    <t>EB</t>
  </si>
  <si>
    <t>EB- AE STRAP-BUMPER</t>
  </si>
  <si>
    <t>AU_M1_D_PRI_DB, AU_M1_D_PRI_DA</t>
  </si>
  <si>
    <t>B 13€ + …</t>
  </si>
  <si>
    <t>EV</t>
  </si>
  <si>
    <t>EV- AE STRAP-VALVE PROT</t>
  </si>
  <si>
    <t>AU_M1_D_PRI_DV, AU_M1_D_PRI_DA</t>
  </si>
  <si>
    <t>V 119€ +…</t>
  </si>
  <si>
    <t>EW</t>
  </si>
  <si>
    <t>EW- AE STRAP-BUMBER-RESCUE</t>
  </si>
  <si>
    <t>AU_M1_D_PRI_DB, AU_M1_D_PRI_DR, AU_M1_D_PRI_DA</t>
  </si>
  <si>
    <t>B 13€ + H 89€ +…</t>
  </si>
  <si>
    <t>EX</t>
  </si>
  <si>
    <t>EX- AE STRAP-VALVE PROT-RESCUE</t>
  </si>
  <si>
    <t>AU_M1_D_PRI_DV, AU_M1_D_PRI_DR, AU_M1_D_PRI_DA</t>
  </si>
  <si>
    <t>V 119€ + H 89€ +…</t>
  </si>
  <si>
    <t xml:space="preserve"> AU_M1_E</t>
  </si>
  <si>
    <t>EN</t>
  </si>
  <si>
    <t>EN- NO SELECTION</t>
  </si>
  <si>
    <t>SP</t>
  </si>
  <si>
    <t>SP-SINGLE BAND PLASTIC BUCKLE</t>
  </si>
  <si>
    <t>AU_M1_E_PRI_SP</t>
  </si>
  <si>
    <t>SH 26€</t>
  </si>
  <si>
    <t>TP</t>
  </si>
  <si>
    <t>TP-TWIN BAND PLASTIC BUCKLE</t>
  </si>
  <si>
    <t>AU_M1_E_PRI_TP</t>
  </si>
  <si>
    <t>LG 59€</t>
  </si>
  <si>
    <t>SM</t>
  </si>
  <si>
    <t>SM-SINGLE BAND METAL BUCKLE</t>
  </si>
  <si>
    <t>AU_M1_E_PRI_SM</t>
  </si>
  <si>
    <t>TM</t>
  </si>
  <si>
    <t>TM-TWIN BAND METAL BUCKLE</t>
  </si>
  <si>
    <t>AU_M1_E_PRI_TM</t>
  </si>
  <si>
    <t>ST 85€</t>
  </si>
  <si>
    <t>AU_M1_F</t>
  </si>
  <si>
    <t>FN</t>
  </si>
  <si>
    <t>FN- NO SELECTION</t>
  </si>
  <si>
    <t>BP</t>
  </si>
  <si>
    <t>BP-BASIC HARNESS PLAST BUCKLE</t>
  </si>
  <si>
    <t>AU_M1_F_PRI_BP</t>
  </si>
  <si>
    <t>COM 68€</t>
  </si>
  <si>
    <t>BM</t>
  </si>
  <si>
    <t>BM-BASIC HARNESS METAL BUCKLE</t>
  </si>
  <si>
    <t>AU_M1_F_PRI_BM</t>
  </si>
  <si>
    <t>AP</t>
  </si>
  <si>
    <t>AP-ADV HARNESS PLAST BUCKLE</t>
  </si>
  <si>
    <t>AU_M1_F_PRI_AP</t>
  </si>
  <si>
    <t>PRO 302€</t>
  </si>
  <si>
    <t>AM</t>
  </si>
  <si>
    <t>AM-ADV HARNESS METAL BUCKLE</t>
  </si>
  <si>
    <t>AU_M1_F_PRI_AM</t>
  </si>
  <si>
    <t>EM</t>
  </si>
  <si>
    <t>EM-EXT HARNESS METAL BUCKLE</t>
  </si>
  <si>
    <t>AU_M1_F_PRI_EM</t>
  </si>
  <si>
    <t xml:space="preserve"> AU_M1_G</t>
  </si>
  <si>
    <t>GN</t>
  </si>
  <si>
    <t>GN-NO ADDONS</t>
  </si>
  <si>
    <t>GC</t>
  </si>
  <si>
    <t>GC-CHEST STR</t>
  </si>
  <si>
    <t>AU_M1_G_PRI_GC</t>
  </si>
  <si>
    <t>GT</t>
  </si>
  <si>
    <t>GT-TUNNEL</t>
  </si>
  <si>
    <t>AU_M1_G_PRI_GT</t>
  </si>
  <si>
    <t>GA</t>
  </si>
  <si>
    <t>GA-AT POINTS</t>
  </si>
  <si>
    <t>AU_M1_G_PRI_GA</t>
  </si>
  <si>
    <t>CT</t>
  </si>
  <si>
    <t>CT-CHEST STR-TUNNEL</t>
  </si>
  <si>
    <t>AU_M1_G_PRI_GC, AU_M1_G_PRI_GT</t>
  </si>
  <si>
    <t>TA</t>
  </si>
  <si>
    <t>TA-TUNNEL-AT POINTS</t>
  </si>
  <si>
    <t>AU_M1_G_PRI_GT, AU_M1_G_PRI_GA</t>
  </si>
  <si>
    <t>CA</t>
  </si>
  <si>
    <t>CA-CHEST STR-AT POINTS</t>
  </si>
  <si>
    <t>AU_M1_G_PRI_GC, AU_M1_G_PRI_GA</t>
  </si>
  <si>
    <t>GX</t>
  </si>
  <si>
    <t>GX-CHEST STR-TUNNEL-AT POINTS</t>
  </si>
  <si>
    <t>AU_M1_G_PRI_GC, AU_M1_G_PRI_GT, AU_M1_G_PRI_GA</t>
  </si>
  <si>
    <t xml:space="preserve"> AU_M1_H</t>
  </si>
  <si>
    <t>HN</t>
  </si>
  <si>
    <t>HN- NO SELECTION</t>
  </si>
  <si>
    <t>SL</t>
  </si>
  <si>
    <t>SL-SINGLE LINE PNEUMATICS</t>
  </si>
  <si>
    <t>AU_M1_H_PRI_SL</t>
  </si>
  <si>
    <t>SL 875€</t>
  </si>
  <si>
    <t>C1</t>
  </si>
  <si>
    <t>C1-CLASSIC PNEUMATICS</t>
  </si>
  <si>
    <t>AU_M1_H_PRI_C1</t>
  </si>
  <si>
    <t>CL 687€</t>
  </si>
  <si>
    <t>C2</t>
  </si>
  <si>
    <t>C2-CLASSIC-WHISTLE LINE</t>
  </si>
  <si>
    <t>AU_M1_H_PRI_C2</t>
  </si>
  <si>
    <t>C3-CLASSIC-FRONT WHISTLE</t>
  </si>
  <si>
    <t>AU_M1_H_PRI_C3</t>
  </si>
  <si>
    <t>C4-CLASSIC-ASV ST</t>
  </si>
  <si>
    <t>AU_M1_H_PRI_C4</t>
  </si>
  <si>
    <t>C5</t>
  </si>
  <si>
    <t>C5-CLASSIC-WHISTLE LINE-ASV ST</t>
  </si>
  <si>
    <t>AU_M1_H_PRI_C5</t>
  </si>
  <si>
    <t>AU_M1_I</t>
  </si>
  <si>
    <t>IN</t>
  </si>
  <si>
    <t>IN-NO ADDONS</t>
  </si>
  <si>
    <t>IA</t>
  </si>
  <si>
    <t>IA-ALPHACLICK</t>
  </si>
  <si>
    <t>AU_M1_I_PRI_IA</t>
  </si>
  <si>
    <t>C3 204€</t>
  </si>
  <si>
    <t>IQ</t>
  </si>
  <si>
    <t>IQ-QUICKFILL</t>
  </si>
  <si>
    <t>AU_M1_I_PRI_IQ</t>
  </si>
  <si>
    <t>Q 301€</t>
  </si>
  <si>
    <t>AQ</t>
  </si>
  <si>
    <t>AQ-ALPHACLICK-QUICKFILL</t>
  </si>
  <si>
    <t>AU_M1_I_PRI_IA, AU_M1_I_PRI_IQ</t>
  </si>
  <si>
    <t>C3 204€ + Q 301€</t>
  </si>
  <si>
    <t>AU_M1_J</t>
  </si>
  <si>
    <t>JN</t>
  </si>
  <si>
    <t>JN-NO SELECTION</t>
  </si>
  <si>
    <t>J1</t>
  </si>
  <si>
    <t>J1-SL GAUGE-WHISTLE-COUPLING</t>
  </si>
  <si>
    <t>AU_M1_J_PRI_J1</t>
  </si>
  <si>
    <t>J2</t>
  </si>
  <si>
    <t>J2-SL COMBI GAUGE</t>
  </si>
  <si>
    <t>AU_M1_J_PRI_J2</t>
  </si>
  <si>
    <t>J3</t>
  </si>
  <si>
    <t>J3-SL COMBI GAUGE ONE COUPLING</t>
  </si>
  <si>
    <t>AU_M1_J_PRI_J3</t>
  </si>
  <si>
    <t>S1 843€</t>
  </si>
  <si>
    <t>J4</t>
  </si>
  <si>
    <t>J4-SL SCOUT</t>
  </si>
  <si>
    <t>AU_M1_J_PRI_J4</t>
  </si>
  <si>
    <t>SLS 600€</t>
  </si>
  <si>
    <t>J5</t>
  </si>
  <si>
    <t>J5-SL SCOUT ONE COUPLING</t>
  </si>
  <si>
    <t>AU_M1_J_PRI_J5</t>
  </si>
  <si>
    <t>J6</t>
  </si>
  <si>
    <t>J6-SL GAUGE-WHISTLE-FIX</t>
  </si>
  <si>
    <t>AU_M1_J_PRI_J6</t>
  </si>
  <si>
    <t>JC</t>
  </si>
  <si>
    <t>JC-CLASSIC CONTROL MODULE</t>
  </si>
  <si>
    <t>AU_M1_J_PRI_JC</t>
  </si>
  <si>
    <t>JG</t>
  </si>
  <si>
    <t>JG-CLASSIC GAUGE</t>
  </si>
  <si>
    <t>AU_M1_J_PRI_JG</t>
  </si>
  <si>
    <t>AU_M1_K</t>
  </si>
  <si>
    <t>KN</t>
  </si>
  <si>
    <t>KN-NO SELECTION</t>
  </si>
  <si>
    <t>K1</t>
  </si>
  <si>
    <t>K1-MP-CPL 600 SHOULDER</t>
  </si>
  <si>
    <t>AU_M1_K_PRI_K1</t>
  </si>
  <si>
    <t>Y 124€</t>
  </si>
  <si>
    <t>K2</t>
  </si>
  <si>
    <t>K2-MP-CPL 600  SHOU.FLUSH</t>
  </si>
  <si>
    <t>AU_M1_K_PRI_K2</t>
  </si>
  <si>
    <t>Z 194€</t>
  </si>
  <si>
    <t>K3</t>
  </si>
  <si>
    <t>K3-MP-NIPPLE-CASC CON.</t>
  </si>
  <si>
    <t>AU_M1_K_PRI_K3</t>
  </si>
  <si>
    <t>M3</t>
  </si>
  <si>
    <t>M3-2MP-CPL 600 SHOU.Y-PIECE</t>
  </si>
  <si>
    <t>AU_M1_K_PRI_M3</t>
  </si>
  <si>
    <t xml:space="preserve"> AU_M1_L</t>
  </si>
  <si>
    <t>LN</t>
  </si>
  <si>
    <t>LN-NO SELECTION</t>
  </si>
  <si>
    <t>L1</t>
  </si>
  <si>
    <t>L1- M1-AS LGDV SHORT</t>
  </si>
  <si>
    <t>AU_M1_L_PRI_L1</t>
  </si>
  <si>
    <t>N 186€</t>
  </si>
  <si>
    <t>L2</t>
  </si>
  <si>
    <t>L2-M1-AS LGDV LONG</t>
  </si>
  <si>
    <t>AU_M1_L_PRI_L2</t>
  </si>
  <si>
    <t>AS 199€</t>
  </si>
  <si>
    <t>L3</t>
  </si>
  <si>
    <t>L3-M1-AS LGDV FIX</t>
  </si>
  <si>
    <t>AU_M1_L_PRI_L3</t>
  </si>
  <si>
    <t>L4</t>
  </si>
  <si>
    <t>L4-M1-AE LGDV M45x3 SHORT</t>
  </si>
  <si>
    <t>AU_M1_L_PRI_L4</t>
  </si>
  <si>
    <t>AE 199€</t>
  </si>
  <si>
    <t>L5</t>
  </si>
  <si>
    <t>L5-M1-AE LGDV M45x3 LONG</t>
  </si>
  <si>
    <t>AU_M1_L_PRI_L5</t>
  </si>
  <si>
    <t>L6</t>
  </si>
  <si>
    <t>L6-M1-AE LGDV M45x3 FIX</t>
  </si>
  <si>
    <t>AU_M1_L_PRI_L6</t>
  </si>
  <si>
    <t>L7</t>
  </si>
  <si>
    <t>L7-M1-ESA LGDV SHORT</t>
  </si>
  <si>
    <t>AU_M1_L_PRI_L7</t>
  </si>
  <si>
    <t>L8</t>
  </si>
  <si>
    <t>L8-M1-ESA LGDV LONG</t>
  </si>
  <si>
    <t>AU_M1_L_PRI_L8</t>
  </si>
  <si>
    <t>L9</t>
  </si>
  <si>
    <t>L9-M1-AS-B LGDV SHORT</t>
  </si>
  <si>
    <t>AU_M1_L_PRI_L9</t>
  </si>
  <si>
    <t>L0</t>
  </si>
  <si>
    <t>L0-M1-AS-B LGDV LONG</t>
  </si>
  <si>
    <t>AU_M1_L_PRI_L0</t>
  </si>
  <si>
    <t xml:space="preserve"> AU_M1_M</t>
  </si>
  <si>
    <t>MN</t>
  </si>
  <si>
    <t>MN-NO ADDONS</t>
  </si>
  <si>
    <t>HS</t>
  </si>
  <si>
    <t>HS-HALTEFIX-AS</t>
  </si>
  <si>
    <t xml:space="preserve"> list price DE01 10089356 30.60€ / 10059353 37.4€</t>
  </si>
  <si>
    <t>HE</t>
  </si>
  <si>
    <t>HE-HALTEFIX-AE-ESA-N</t>
  </si>
  <si>
    <t>HA</t>
  </si>
  <si>
    <t>HA-HALTEFIX-AE</t>
  </si>
  <si>
    <t xml:space="preserve"> AU_M1_N</t>
  </si>
  <si>
    <t>NN</t>
  </si>
  <si>
    <t>NN-NO ADDONS</t>
  </si>
  <si>
    <t>NH</t>
  </si>
  <si>
    <t>NH-RESPI HOOD</t>
  </si>
  <si>
    <t>AU_M1_N_PRI_NH</t>
  </si>
  <si>
    <t>10045764 list price DE01 197€</t>
  </si>
  <si>
    <t>NC</t>
  </si>
  <si>
    <t>NC-S-CAP</t>
  </si>
  <si>
    <t>AU_M1_N_PRI_NC</t>
  </si>
  <si>
    <t>10081637 list price DE01 216€</t>
  </si>
  <si>
    <t>AU_M1_O</t>
  </si>
  <si>
    <t>BG</t>
  </si>
  <si>
    <t>BG- български</t>
  </si>
  <si>
    <t>CS</t>
  </si>
  <si>
    <t>CS- Československý</t>
  </si>
  <si>
    <t>DA- Dansk</t>
  </si>
  <si>
    <t>DE</t>
  </si>
  <si>
    <t>DE- Deutsche</t>
  </si>
  <si>
    <t>EL</t>
  </si>
  <si>
    <t>EL- Ελληνικά</t>
  </si>
  <si>
    <t>EN- English</t>
  </si>
  <si>
    <t>ES- Español</t>
  </si>
  <si>
    <t>FI- Suomalainen</t>
  </si>
  <si>
    <t>FR- Français</t>
  </si>
  <si>
    <t>HU- Magyar</t>
  </si>
  <si>
    <t>IT- Italiano</t>
  </si>
  <si>
    <t>KK- Қазақша</t>
  </si>
  <si>
    <t xml:space="preserve">NL- Nederlandse </t>
  </si>
  <si>
    <t>NO- Norsk</t>
  </si>
  <si>
    <t>PL- Polskie</t>
  </si>
  <si>
    <t>PT- Português</t>
  </si>
  <si>
    <t>RO- Română</t>
  </si>
  <si>
    <t>RU- русский</t>
  </si>
  <si>
    <t>SK- Slovenskí</t>
  </si>
  <si>
    <t>SV- Svenska</t>
  </si>
  <si>
    <t>TR- Türk</t>
  </si>
  <si>
    <t>UK- Українська</t>
  </si>
  <si>
    <t>ON</t>
  </si>
  <si>
    <t>ON-NO SELECTION</t>
  </si>
  <si>
    <t>AU_M1_P</t>
  </si>
  <si>
    <t>PN</t>
  </si>
  <si>
    <t>PN-NO LABEL</t>
  </si>
  <si>
    <t>TX</t>
  </si>
  <si>
    <t>TX-TEXT</t>
  </si>
  <si>
    <t>AU_M1_P_PRI_TX</t>
  </si>
  <si>
    <t>H 89€ +…</t>
  </si>
  <si>
    <t>+…</t>
  </si>
  <si>
    <t>DEM2 part &amp; cost</t>
  </si>
  <si>
    <t>10186243  76.25€</t>
  </si>
  <si>
    <t>10186244  80.83€</t>
  </si>
  <si>
    <t>10186283  61.18€</t>
  </si>
  <si>
    <t>10186284 101.05€</t>
  </si>
  <si>
    <t>10186285  83.58€</t>
  </si>
  <si>
    <t>10186286  63.93€</t>
  </si>
  <si>
    <t>10186287  155.32€</t>
  </si>
  <si>
    <t>10186288  146.77€</t>
  </si>
  <si>
    <t>10186289  101.17€</t>
  </si>
  <si>
    <t>10186290  67.93€</t>
  </si>
  <si>
    <t>10082053 1.61€</t>
  </si>
  <si>
    <t>10189829 n\a</t>
  </si>
  <si>
    <t>10192735 n\a</t>
  </si>
  <si>
    <t>D4075822 3.49€</t>
  </si>
  <si>
    <t>10078511 5.35€</t>
  </si>
  <si>
    <t>10078512 5.52€</t>
  </si>
  <si>
    <t>10118878 1.24€</t>
  </si>
  <si>
    <t>10045764 43.15€</t>
  </si>
  <si>
    <t>10081637 57.13€</t>
  </si>
  <si>
    <t>AirGo</t>
  </si>
  <si>
    <t>AirMaXX</t>
  </si>
  <si>
    <t>AirGoFix</t>
  </si>
  <si>
    <t>n/a</t>
  </si>
  <si>
    <t>2019 to add</t>
  </si>
  <si>
    <t>51,00 (S)</t>
  </si>
  <si>
    <t>Druckminder  260 + Leitung</t>
  </si>
  <si>
    <t>M1</t>
  </si>
  <si>
    <t>k2</t>
  </si>
  <si>
    <t>Options</t>
  </si>
  <si>
    <t>Your Selection</t>
  </si>
  <si>
    <t>Basic Price</t>
  </si>
  <si>
    <t>Harness</t>
  </si>
  <si>
    <t>NOTFICATIONS:</t>
  </si>
  <si>
    <t>Pneumatic System</t>
  </si>
  <si>
    <t>Ordering no.:</t>
  </si>
  <si>
    <t>ATO-CODE:</t>
  </si>
  <si>
    <r>
      <t>Discount:</t>
    </r>
    <r>
      <rPr>
        <b/>
        <sz val="10"/>
        <color theme="0"/>
        <rFont val="Arial"/>
        <family val="2"/>
      </rPr>
      <t xml:space="preserve"> (input)</t>
    </r>
  </si>
  <si>
    <t>Net Price:</t>
  </si>
  <si>
    <r>
      <t xml:space="preserve">Quantity: </t>
    </r>
    <r>
      <rPr>
        <b/>
        <sz val="10"/>
        <color theme="0"/>
        <rFont val="Arial"/>
        <family val="2"/>
      </rPr>
      <t>(input)</t>
    </r>
  </si>
  <si>
    <t>Total Net Value:</t>
  </si>
  <si>
    <t>Configuration</t>
  </si>
  <si>
    <t>Standard</t>
  </si>
  <si>
    <t>Backplate</t>
  </si>
  <si>
    <t>Backplate Addons</t>
  </si>
  <si>
    <t>Cylinder Band</t>
  </si>
  <si>
    <t>Harness Addons</t>
  </si>
  <si>
    <t>Pneumatic Addons</t>
  </si>
  <si>
    <t>Manifold Options</t>
  </si>
  <si>
    <t>Additional Connection</t>
  </si>
  <si>
    <t>LGDV</t>
  </si>
  <si>
    <t>LGDV Addons</t>
  </si>
  <si>
    <t>Language Manual</t>
  </si>
  <si>
    <t>Customer Label</t>
  </si>
  <si>
    <t>LO</t>
  </si>
  <si>
    <t>If 13 or 14; 45;46</t>
  </si>
  <si>
    <t>If 12; 43;44;45;46</t>
  </si>
  <si>
    <t>if 12;13;14; 45;46 then 49,50;52;55; then 59;60;61;62</t>
  </si>
  <si>
    <t>b</t>
  </si>
  <si>
    <t>a</t>
  </si>
  <si>
    <t>consolidated</t>
  </si>
  <si>
    <t xml:space="preserve">if 60 or 61 or 62, then 66;67 </t>
  </si>
  <si>
    <t>d</t>
  </si>
  <si>
    <t>if 59 then 72;73;74;75;76</t>
  </si>
  <si>
    <t>formula (level 1,d. f)</t>
  </si>
  <si>
    <t>level 1</t>
  </si>
  <si>
    <t>c</t>
  </si>
  <si>
    <t>(consol b,c)=d</t>
  </si>
  <si>
    <t>d+e=f</t>
  </si>
  <si>
    <t>e</t>
  </si>
  <si>
    <t>level 1,d.f</t>
  </si>
  <si>
    <t>c+e=f</t>
  </si>
  <si>
    <t>b+c=d</t>
  </si>
  <si>
    <t>level 1, f</t>
  </si>
  <si>
    <t>cond a</t>
  </si>
  <si>
    <t>cond b</t>
  </si>
  <si>
    <t>a+b=c</t>
  </si>
  <si>
    <t>cond d</t>
  </si>
  <si>
    <t>b+d=e</t>
  </si>
  <si>
    <t>a+e=f</t>
  </si>
  <si>
    <t>Order via ATO-Code</t>
  </si>
  <si>
    <t>(consol a,b)=c</t>
  </si>
  <si>
    <t>formula (level 1, c)</t>
  </si>
  <si>
    <t>EUR</t>
  </si>
  <si>
    <t>A_M1 SCBA</t>
  </si>
  <si>
    <t>EA</t>
  </si>
  <si>
    <t>loaded on 03/12/2018</t>
  </si>
  <si>
    <t>DE01</t>
  </si>
  <si>
    <t>AT01</t>
  </si>
  <si>
    <t>CH01</t>
  </si>
  <si>
    <t>FR01</t>
  </si>
  <si>
    <t>IT01</t>
  </si>
  <si>
    <t>ES01</t>
  </si>
  <si>
    <t>NL01</t>
  </si>
  <si>
    <t>BE01</t>
  </si>
  <si>
    <t>SE01</t>
  </si>
  <si>
    <t>GB01</t>
  </si>
  <si>
    <t>PL01</t>
  </si>
  <si>
    <t>RO01</t>
  </si>
  <si>
    <t>CZ01</t>
  </si>
  <si>
    <t>AU_M1_M_PRI_ HE_HA</t>
  </si>
  <si>
    <t>AU_M1_M_PRI_HS</t>
  </si>
  <si>
    <t>first level</t>
  </si>
  <si>
    <t>c3</t>
  </si>
  <si>
    <t>sl</t>
  </si>
  <si>
    <t>c1,c2</t>
  </si>
  <si>
    <t>sl+c1,c2</t>
  </si>
  <si>
    <t>sl+c1,c2+c3</t>
  </si>
  <si>
    <t>ST</t>
  </si>
  <si>
    <t>costs: 381,32</t>
  </si>
  <si>
    <t>Price List 2020</t>
  </si>
  <si>
    <t>CHF</t>
  </si>
  <si>
    <t>GBP</t>
  </si>
  <si>
    <t>PLN</t>
  </si>
  <si>
    <t>Part No.</t>
  </si>
  <si>
    <t>KMAT String</t>
  </si>
  <si>
    <t xml:space="preserve">DATA LOAD
DE01
</t>
  </si>
  <si>
    <t xml:space="preserve">DATA LOAD
AT01
</t>
  </si>
  <si>
    <t xml:space="preserve">DATA LOAD
CH01
</t>
  </si>
  <si>
    <t xml:space="preserve">DATA LOAD
FR01
</t>
  </si>
  <si>
    <t xml:space="preserve">DATA LOAD
IT01
</t>
  </si>
  <si>
    <t xml:space="preserve">DATA LOAD
ES01
</t>
  </si>
  <si>
    <t xml:space="preserve">DATA LOAD
NL01
</t>
  </si>
  <si>
    <t xml:space="preserve">DATA LOAD
BE01
</t>
  </si>
  <si>
    <t xml:space="preserve">DATA LOAD
SE01
</t>
  </si>
  <si>
    <t xml:space="preserve">DATA LOAD
GB01
</t>
  </si>
  <si>
    <t xml:space="preserve">DATA LOAD
PL01
</t>
  </si>
  <si>
    <t xml:space="preserve">DATA LOAD
RO01
</t>
  </si>
  <si>
    <t>M1, FI-C4-BNA-SP-BP-C1-JG--L3-DE</t>
  </si>
  <si>
    <t>Carrying plate, M1 SCBA, spare - VRGZ</t>
  </si>
  <si>
    <t>Price Increase</t>
  </si>
  <si>
    <t>loaded on xxxx</t>
  </si>
  <si>
    <t>ES</t>
  </si>
  <si>
    <t>FR</t>
  </si>
  <si>
    <t>HU</t>
  </si>
  <si>
    <t>IT</t>
  </si>
  <si>
    <t>KK</t>
  </si>
  <si>
    <t>NL</t>
  </si>
  <si>
    <t>NO</t>
  </si>
  <si>
    <t>PL</t>
  </si>
  <si>
    <t>PT</t>
  </si>
  <si>
    <t>RO</t>
  </si>
  <si>
    <t>RU</t>
  </si>
  <si>
    <t>SK</t>
  </si>
  <si>
    <t>SV</t>
  </si>
  <si>
    <t>TR</t>
  </si>
  <si>
    <t>UK</t>
  </si>
  <si>
    <t>Price Increase 2021</t>
  </si>
  <si>
    <t>Price List 2021</t>
  </si>
  <si>
    <t>Mohamed note</t>
  </si>
  <si>
    <t>5% only for future option JR</t>
  </si>
  <si>
    <t>A_M1 SCBA-WO-C4-BSO-DB-SP-AP-GN-SL-IN-J1-KN-LN-MN-NN-EN-PN</t>
  </si>
  <si>
    <t>A_M1 SCBA-WO-C4-BSO-DB-SP-AP-GN-SL-IN-J2-KN-LN-MN-NN-EN-PN</t>
  </si>
  <si>
    <t>A_M1 SCBA-WO-C4-BSH-DB-SP-AP-GN-SL-IN-J1-KN-LN-MN-NN-EN-PN</t>
  </si>
  <si>
    <t>A_M1 SCBA-WO-C4-BSH-DB-SP-AP-GN-SL-IN-J2-KN-LN-MN-NN-EN-PN</t>
  </si>
  <si>
    <t>A_M1 SCBA-FI-C4-BNA-DB-SP-BP-GA-C1-IN-JG-KN-L3-HS-NN-EN-PN</t>
  </si>
  <si>
    <t>A_M1 SCBA-FI-C4-BNA-DB-SP-AP-GA-C1-IN-JG-KN-L3-HS-NN-EN-PN</t>
  </si>
  <si>
    <t>A_M1 SCBA-FI-C4-BNA-DB-SP-BP-GA-C1-IN-JG-K1-L3-HS-NN-EN-PN</t>
  </si>
  <si>
    <t>A_M1 SCBA-WO-C4-BNA-DB-SP-BP-GN-SL-IN-J2-KN-LN-MN-NN-EN-PN</t>
  </si>
  <si>
    <t>M1 LGDV ESA, short</t>
  </si>
  <si>
    <t>M1 LGDV ESA, long</t>
  </si>
  <si>
    <t>M1 LGDV AS, short</t>
  </si>
  <si>
    <t>M1 LGDV AS, long</t>
  </si>
  <si>
    <t>M1 LGDV AE M45x3, short</t>
  </si>
  <si>
    <t>M1 LGDV AE M45x3, long</t>
  </si>
  <si>
    <t>M1 LGDV AS-Bypass, short</t>
  </si>
  <si>
    <t>M1 LGDV AS-Bypass, long</t>
  </si>
  <si>
    <t>M1 LGDV AS, fix</t>
  </si>
  <si>
    <t>M1 LGDV M45x3, fix</t>
  </si>
  <si>
    <t>Configurator 2021</t>
  </si>
  <si>
    <t>Prices 2021 [EUR]</t>
  </si>
  <si>
    <t>List Price 2021:</t>
  </si>
  <si>
    <t>31.12.2021</t>
  </si>
  <si>
    <t>X4</t>
  </si>
  <si>
    <t>C6</t>
  </si>
  <si>
    <t>X4- EN137 (-40°C) / CBRN</t>
  </si>
  <si>
    <t>C5- EN137 (-40°C) UK / CBRN</t>
  </si>
  <si>
    <t>C6- AS/NZS 1716 (-40°C) - AUS</t>
  </si>
  <si>
    <t>plan rates 2021</t>
  </si>
  <si>
    <t>Price List 2020 EUR</t>
  </si>
  <si>
    <t>Price List 2020 CHF</t>
  </si>
  <si>
    <t>Price List 2020 GBP</t>
  </si>
  <si>
    <t>Price List 2020 PLN</t>
  </si>
  <si>
    <t>1.1.2021</t>
  </si>
  <si>
    <t>JR-CONTROL MODULE TM</t>
  </si>
  <si>
    <t>AU_M1_J_PRI_JR</t>
  </si>
  <si>
    <t>JR</t>
  </si>
  <si>
    <t>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</si>
</sst>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[$€-407]_-;\-* #,##0.00\ [$€-407]_-;_-* &quot;-&quot;??\ [$€-407]_-;_-@_-"/>
    <numFmt numFmtId="166" formatCode="#,##0.0"/>
    <numFmt numFmtId="167" formatCode="_-* #,##0.00\ [$EUR]_-;\-* #,##0.00\ [$EUR]_-;_-* &quot;-&quot;??\ [$EUR]_-;_-@_-"/>
    <numFmt numFmtId="168" formatCode="#,##0.00\ [$EUR]"/>
    <numFmt numFmtId="169" formatCode="0.0%"/>
  </numFmts>
  <fonts count="4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trike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6"/>
      <color rgb="FF00B050"/>
      <name val="Arial"/>
      <family val="2"/>
    </font>
    <font>
      <b/>
      <sz val="14"/>
      <color rgb="FF00B050"/>
      <name val="Arial"/>
      <family val="2"/>
    </font>
    <font>
      <sz val="10"/>
      <color rgb="FFFF0000"/>
      <name val="Arial"/>
      <family val="2"/>
    </font>
    <font>
      <b/>
      <sz val="2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 tint="-0.249977111117893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7" borderId="0" applyNumberFormat="0" applyBorder="0" applyAlignment="0" applyProtection="0"/>
    <xf numFmtId="0" fontId="9" fillId="8" borderId="7" applyNumberFormat="0" applyAlignment="0" applyProtection="0"/>
    <xf numFmtId="0" fontId="12" fillId="0" borderId="0"/>
    <xf numFmtId="0" fontId="1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" fillId="0" borderId="0"/>
    <xf numFmtId="0" fontId="4" fillId="0" borderId="0"/>
    <xf numFmtId="9" fontId="35" fillId="0" borderId="0" applyFont="0" applyFill="0" applyBorder="0" applyAlignment="0" applyProtection="0"/>
  </cellStyleXfs>
  <cellXfs count="20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Fill="1"/>
    <xf numFmtId="0" fontId="5" fillId="0" borderId="0" xfId="0" applyFont="1"/>
    <xf numFmtId="0" fontId="4" fillId="3" borderId="1" xfId="0" applyFont="1" applyFill="1" applyBorder="1" applyAlignment="1">
      <alignment vertical="center"/>
    </xf>
    <xf numFmtId="0" fontId="4" fillId="0" borderId="0" xfId="0" applyFont="1"/>
    <xf numFmtId="0" fontId="0" fillId="0" borderId="0" xfId="0" applyFill="1"/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6" borderId="0" xfId="0" applyFill="1"/>
    <xf numFmtId="0" fontId="4" fillId="0" borderId="0" xfId="0" applyFont="1" applyBorder="1"/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5" fillId="6" borderId="0" xfId="0" applyFont="1" applyFill="1"/>
    <xf numFmtId="0" fontId="2" fillId="0" borderId="0" xfId="0" quotePrefix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65" fontId="0" fillId="0" borderId="0" xfId="0" applyNumberFormat="1"/>
    <xf numFmtId="0" fontId="10" fillId="7" borderId="0" xfId="1" applyFont="1"/>
    <xf numFmtId="0" fontId="10" fillId="7" borderId="1" xfId="1" applyFont="1" applyBorder="1" applyAlignment="1">
      <alignment vertical="center"/>
    </xf>
    <xf numFmtId="0" fontId="10" fillId="7" borderId="2" xfId="1" applyFont="1" applyBorder="1" applyAlignment="1">
      <alignment vertical="center"/>
    </xf>
    <xf numFmtId="0" fontId="10" fillId="7" borderId="3" xfId="1" applyFont="1" applyBorder="1" applyAlignment="1">
      <alignment vertical="center"/>
    </xf>
    <xf numFmtId="0" fontId="10" fillId="7" borderId="4" xfId="1" applyFont="1" applyBorder="1" applyAlignment="1">
      <alignment vertical="center"/>
    </xf>
    <xf numFmtId="0" fontId="10" fillId="7" borderId="5" xfId="1" applyFont="1" applyBorder="1" applyAlignment="1">
      <alignment vertical="center"/>
    </xf>
    <xf numFmtId="0" fontId="11" fillId="8" borderId="7" xfId="2" applyFont="1" applyAlignment="1">
      <alignment vertical="center"/>
    </xf>
    <xf numFmtId="165" fontId="11" fillId="8" borderId="7" xfId="2" applyNumberFormat="1" applyFont="1"/>
    <xf numFmtId="165" fontId="10" fillId="7" borderId="0" xfId="1" applyNumberFormat="1" applyFont="1"/>
    <xf numFmtId="0" fontId="10" fillId="7" borderId="0" xfId="1" applyFont="1" applyBorder="1" applyAlignment="1">
      <alignment vertical="center"/>
    </xf>
    <xf numFmtId="0" fontId="10" fillId="7" borderId="6" xfId="1" applyFont="1" applyBorder="1" applyAlignment="1">
      <alignment vertical="center"/>
    </xf>
    <xf numFmtId="0" fontId="10" fillId="7" borderId="7" xfId="1" applyFont="1" applyBorder="1" applyAlignment="1">
      <alignment vertical="center"/>
    </xf>
    <xf numFmtId="165" fontId="11" fillId="8" borderId="7" xfId="2" applyNumberFormat="1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4" fillId="0" borderId="0" xfId="4" applyFont="1" applyProtection="1">
      <protection hidden="1"/>
    </xf>
    <xf numFmtId="0" fontId="14" fillId="0" borderId="0" xfId="4" applyFill="1" applyProtection="1">
      <protection hidden="1"/>
    </xf>
    <xf numFmtId="166" fontId="4" fillId="0" borderId="0" xfId="4" applyNumberFormat="1" applyFont="1" applyAlignment="1" applyProtection="1">
      <alignment horizontal="right"/>
      <protection hidden="1"/>
    </xf>
    <xf numFmtId="0" fontId="14" fillId="0" borderId="0" xfId="4" applyAlignment="1" applyProtection="1">
      <alignment horizontal="left"/>
      <protection hidden="1"/>
    </xf>
    <xf numFmtId="0" fontId="4" fillId="0" borderId="0" xfId="4" applyFont="1" applyFill="1" applyProtection="1">
      <protection hidden="1"/>
    </xf>
    <xf numFmtId="0" fontId="4" fillId="9" borderId="0" xfId="4" applyFont="1" applyFill="1" applyProtection="1">
      <protection hidden="1"/>
    </xf>
    <xf numFmtId="0" fontId="7" fillId="0" borderId="0" xfId="4" applyFont="1" applyFill="1" applyProtection="1">
      <protection hidden="1"/>
    </xf>
    <xf numFmtId="0" fontId="18" fillId="0" borderId="0" xfId="4" applyFont="1" applyProtection="1">
      <protection hidden="1"/>
    </xf>
    <xf numFmtId="0" fontId="19" fillId="9" borderId="0" xfId="4" applyFont="1" applyFill="1" applyProtection="1">
      <protection hidden="1"/>
    </xf>
    <xf numFmtId="0" fontId="19" fillId="9" borderId="0" xfId="4" applyFont="1" applyFill="1" applyAlignment="1" applyProtection="1">
      <alignment horizontal="right"/>
      <protection hidden="1"/>
    </xf>
    <xf numFmtId="2" fontId="20" fillId="9" borderId="0" xfId="4" applyNumberFormat="1" applyFont="1" applyFill="1" applyAlignment="1" applyProtection="1">
      <alignment horizontal="center"/>
      <protection hidden="1"/>
    </xf>
    <xf numFmtId="0" fontId="4" fillId="9" borderId="0" xfId="4" applyFont="1" applyFill="1" applyBorder="1" applyProtection="1">
      <protection hidden="1"/>
    </xf>
    <xf numFmtId="0" fontId="3" fillId="9" borderId="0" xfId="4" applyFont="1" applyFill="1" applyBorder="1" applyAlignment="1" applyProtection="1">
      <alignment horizontal="center"/>
      <protection hidden="1"/>
    </xf>
    <xf numFmtId="0" fontId="3" fillId="0" borderId="0" xfId="4" applyFont="1" applyBorder="1" applyProtection="1">
      <protection hidden="1"/>
    </xf>
    <xf numFmtId="0" fontId="7" fillId="11" borderId="0" xfId="4" applyFont="1" applyFill="1" applyProtection="1">
      <protection hidden="1"/>
    </xf>
    <xf numFmtId="166" fontId="4" fillId="11" borderId="0" xfId="4" applyNumberFormat="1" applyFont="1" applyFill="1" applyBorder="1" applyProtection="1">
      <protection hidden="1"/>
    </xf>
    <xf numFmtId="0" fontId="4" fillId="0" borderId="0" xfId="4" applyFont="1" applyBorder="1" applyProtection="1">
      <protection hidden="1"/>
    </xf>
    <xf numFmtId="0" fontId="3" fillId="10" borderId="0" xfId="4" applyFont="1" applyFill="1" applyProtection="1">
      <protection hidden="1"/>
    </xf>
    <xf numFmtId="0" fontId="3" fillId="9" borderId="0" xfId="4" applyFont="1" applyFill="1" applyAlignment="1" applyProtection="1">
      <alignment horizontal="center"/>
      <protection hidden="1"/>
    </xf>
    <xf numFmtId="4" fontId="4" fillId="0" borderId="0" xfId="4" applyNumberFormat="1" applyFont="1" applyFill="1" applyProtection="1">
      <protection hidden="1"/>
    </xf>
    <xf numFmtId="166" fontId="4" fillId="10" borderId="0" xfId="4" applyNumberFormat="1" applyFont="1" applyFill="1" applyAlignment="1" applyProtection="1">
      <alignment wrapText="1"/>
      <protection hidden="1"/>
    </xf>
    <xf numFmtId="0" fontId="3" fillId="0" borderId="0" xfId="4" applyFont="1" applyProtection="1">
      <protection hidden="1"/>
    </xf>
    <xf numFmtId="0" fontId="3" fillId="0" borderId="0" xfId="4" applyFont="1" applyFill="1" applyBorder="1" applyProtection="1">
      <protection hidden="1"/>
    </xf>
    <xf numFmtId="0" fontId="4" fillId="9" borderId="0" xfId="4" applyFont="1" applyFill="1" applyBorder="1" applyAlignment="1" applyProtection="1">
      <alignment horizontal="left"/>
      <protection hidden="1"/>
    </xf>
    <xf numFmtId="166" fontId="4" fillId="9" borderId="0" xfId="4" applyNumberFormat="1" applyFont="1" applyFill="1" applyAlignment="1" applyProtection="1">
      <alignment horizontal="right"/>
      <protection hidden="1"/>
    </xf>
    <xf numFmtId="0" fontId="21" fillId="9" borderId="0" xfId="4" applyFont="1" applyFill="1" applyProtection="1">
      <protection hidden="1"/>
    </xf>
    <xf numFmtId="0" fontId="22" fillId="0" borderId="0" xfId="4" applyFont="1" applyProtection="1">
      <protection hidden="1"/>
    </xf>
    <xf numFmtId="0" fontId="22" fillId="9" borderId="0" xfId="4" applyFont="1" applyFill="1" applyAlignment="1" applyProtection="1">
      <alignment horizontal="right"/>
      <protection hidden="1"/>
    </xf>
    <xf numFmtId="0" fontId="21" fillId="9" borderId="0" xfId="4" applyFont="1" applyFill="1" applyBorder="1" applyAlignment="1" applyProtection="1">
      <alignment horizontal="left"/>
      <protection hidden="1"/>
    </xf>
    <xf numFmtId="0" fontId="21" fillId="0" borderId="0" xfId="4" applyFont="1" applyProtection="1">
      <protection hidden="1"/>
    </xf>
    <xf numFmtId="0" fontId="22" fillId="0" borderId="0" xfId="4" applyFont="1" applyFill="1" applyBorder="1" applyProtection="1">
      <protection hidden="1"/>
    </xf>
    <xf numFmtId="166" fontId="21" fillId="9" borderId="0" xfId="4" applyNumberFormat="1" applyFont="1" applyFill="1" applyAlignment="1" applyProtection="1">
      <alignment horizontal="right"/>
      <protection hidden="1"/>
    </xf>
    <xf numFmtId="0" fontId="4" fillId="9" borderId="6" xfId="4" applyFont="1" applyFill="1" applyBorder="1" applyProtection="1">
      <protection hidden="1"/>
    </xf>
    <xf numFmtId="166" fontId="4" fillId="9" borderId="0" xfId="4" applyNumberFormat="1" applyFont="1" applyFill="1" applyBorder="1" applyAlignment="1" applyProtection="1">
      <alignment horizontal="right"/>
      <protection hidden="1"/>
    </xf>
    <xf numFmtId="0" fontId="4" fillId="9" borderId="8" xfId="4" applyFont="1" applyFill="1" applyBorder="1" applyProtection="1">
      <protection hidden="1"/>
    </xf>
    <xf numFmtId="166" fontId="4" fillId="9" borderId="8" xfId="4" applyNumberFormat="1" applyFont="1" applyFill="1" applyBorder="1" applyAlignment="1" applyProtection="1">
      <alignment horizontal="right"/>
      <protection hidden="1"/>
    </xf>
    <xf numFmtId="0" fontId="3" fillId="0" borderId="0" xfId="4" applyFont="1" applyFill="1" applyAlignment="1" applyProtection="1">
      <alignment horizontal="right"/>
      <protection hidden="1"/>
    </xf>
    <xf numFmtId="0" fontId="23" fillId="10" borderId="0" xfId="3" applyFont="1" applyFill="1" applyBorder="1" applyProtection="1">
      <protection hidden="1"/>
    </xf>
    <xf numFmtId="4" fontId="24" fillId="9" borderId="0" xfId="4" applyNumberFormat="1" applyFont="1" applyFill="1" applyBorder="1" applyProtection="1">
      <protection hidden="1"/>
    </xf>
    <xf numFmtId="168" fontId="25" fillId="10" borderId="0" xfId="3" applyNumberFormat="1" applyFont="1" applyFill="1" applyBorder="1" applyAlignment="1" applyProtection="1">
      <alignment horizontal="right"/>
      <protection hidden="1"/>
    </xf>
    <xf numFmtId="168" fontId="3" fillId="0" borderId="0" xfId="4" applyNumberFormat="1" applyFont="1" applyFill="1" applyBorder="1" applyProtection="1">
      <protection hidden="1"/>
    </xf>
    <xf numFmtId="0" fontId="26" fillId="2" borderId="0" xfId="3" applyFont="1" applyFill="1" applyBorder="1" applyProtection="1">
      <protection hidden="1"/>
    </xf>
    <xf numFmtId="169" fontId="28" fillId="2" borderId="0" xfId="3" applyNumberFormat="1" applyFont="1" applyFill="1" applyBorder="1" applyAlignment="1" applyProtection="1">
      <alignment horizontal="right"/>
      <protection locked="0"/>
    </xf>
    <xf numFmtId="0" fontId="29" fillId="10" borderId="0" xfId="3" applyFont="1" applyFill="1" applyBorder="1" applyProtection="1">
      <protection hidden="1"/>
    </xf>
    <xf numFmtId="4" fontId="24" fillId="9" borderId="0" xfId="4" applyNumberFormat="1" applyFont="1" applyFill="1" applyProtection="1">
      <protection hidden="1"/>
    </xf>
    <xf numFmtId="168" fontId="30" fillId="10" borderId="0" xfId="3" applyNumberFormat="1" applyFont="1" applyFill="1" applyBorder="1" applyAlignment="1" applyProtection="1">
      <alignment horizontal="right"/>
      <protection hidden="1"/>
    </xf>
    <xf numFmtId="1" fontId="28" fillId="2" borderId="0" xfId="3" applyNumberFormat="1" applyFont="1" applyFill="1" applyBorder="1" applyAlignment="1" applyProtection="1">
      <alignment horizontal="right"/>
      <protection locked="0"/>
    </xf>
    <xf numFmtId="0" fontId="3" fillId="9" borderId="0" xfId="4" applyFont="1" applyFill="1" applyProtection="1">
      <protection hidden="1"/>
    </xf>
    <xf numFmtId="2" fontId="3" fillId="9" borderId="0" xfId="4" applyNumberFormat="1" applyFont="1" applyFill="1" applyProtection="1">
      <protection hidden="1"/>
    </xf>
    <xf numFmtId="166" fontId="3" fillId="9" borderId="0" xfId="4" applyNumberFormat="1" applyFont="1" applyFill="1" applyAlignment="1" applyProtection="1">
      <alignment horizontal="right"/>
      <protection hidden="1"/>
    </xf>
    <xf numFmtId="0" fontId="3" fillId="0" borderId="0" xfId="4" applyFont="1" applyFill="1" applyProtection="1">
      <protection hidden="1"/>
    </xf>
    <xf numFmtId="1" fontId="3" fillId="0" borderId="0" xfId="4" applyNumberFormat="1" applyFont="1" applyFill="1" applyProtection="1">
      <protection hidden="1"/>
    </xf>
    <xf numFmtId="166" fontId="3" fillId="0" borderId="0" xfId="4" applyNumberFormat="1" applyFont="1" applyFill="1" applyAlignment="1" applyProtection="1">
      <alignment horizontal="right"/>
      <protection hidden="1"/>
    </xf>
    <xf numFmtId="1" fontId="3" fillId="0" borderId="0" xfId="4" applyNumberFormat="1" applyFont="1" applyAlignment="1" applyProtection="1">
      <alignment horizontal="right"/>
      <protection hidden="1"/>
    </xf>
    <xf numFmtId="0" fontId="4" fillId="0" borderId="0" xfId="4" applyFont="1" applyAlignment="1" applyProtection="1">
      <alignment horizontal="right"/>
      <protection hidden="1"/>
    </xf>
    <xf numFmtId="0" fontId="3" fillId="10" borderId="0" xfId="4" applyFont="1" applyFill="1" applyAlignment="1" applyProtection="1">
      <alignment vertical="center"/>
      <protection hidden="1"/>
    </xf>
    <xf numFmtId="0" fontId="3" fillId="10" borderId="0" xfId="4" applyFont="1" applyFill="1" applyBorder="1" applyAlignment="1" applyProtection="1">
      <alignment vertical="center"/>
      <protection hidden="1"/>
    </xf>
    <xf numFmtId="0" fontId="4" fillId="12" borderId="1" xfId="4" applyFont="1" applyFill="1" applyBorder="1" applyAlignment="1" applyProtection="1">
      <alignment horizontal="left" vertical="center"/>
      <protection locked="0"/>
    </xf>
    <xf numFmtId="0" fontId="3" fillId="0" borderId="1" xfId="4" applyFont="1" applyBorder="1" applyProtection="1">
      <protection hidden="1"/>
    </xf>
    <xf numFmtId="0" fontId="4" fillId="0" borderId="1" xfId="4" applyFont="1" applyBorder="1" applyProtection="1">
      <protection hidden="1"/>
    </xf>
    <xf numFmtId="0" fontId="4" fillId="13" borderId="1" xfId="4" applyFont="1" applyFill="1" applyBorder="1" applyProtection="1">
      <protection hidden="1"/>
    </xf>
    <xf numFmtId="0" fontId="4" fillId="0" borderId="1" xfId="4" applyFont="1" applyBorder="1" applyAlignment="1" applyProtection="1">
      <alignment horizontal="left" vertical="center"/>
      <protection hidden="1"/>
    </xf>
    <xf numFmtId="0" fontId="4" fillId="0" borderId="1" xfId="4" applyFont="1" applyFill="1" applyBorder="1" applyProtection="1">
      <protection hidden="1"/>
    </xf>
    <xf numFmtId="0" fontId="4" fillId="0" borderId="9" xfId="4" applyFont="1" applyFill="1" applyBorder="1" applyAlignment="1" applyProtection="1">
      <alignment horizontal="center"/>
      <protection hidden="1"/>
    </xf>
    <xf numFmtId="0" fontId="4" fillId="13" borderId="1" xfId="4" applyFont="1" applyFill="1" applyBorder="1" applyAlignment="1" applyProtection="1">
      <alignment horizontal="left" vertical="center"/>
      <protection hidden="1"/>
    </xf>
    <xf numFmtId="0" fontId="4" fillId="0" borderId="1" xfId="4" applyFont="1" applyFill="1" applyBorder="1" applyAlignment="1" applyProtection="1">
      <alignment horizontal="left"/>
      <protection hidden="1"/>
    </xf>
    <xf numFmtId="167" fontId="3" fillId="0" borderId="1" xfId="5" applyNumberFormat="1" applyFont="1" applyFill="1" applyBorder="1" applyAlignment="1" applyProtection="1">
      <alignment horizontal="right" vertical="center"/>
      <protection hidden="1"/>
    </xf>
    <xf numFmtId="0" fontId="3" fillId="0" borderId="1" xfId="4" applyFont="1" applyFill="1" applyBorder="1" applyProtection="1">
      <protection hidden="1"/>
    </xf>
    <xf numFmtId="0" fontId="3" fillId="0" borderId="1" xfId="4" applyFont="1" applyBorder="1" applyAlignment="1" applyProtection="1">
      <protection hidden="1"/>
    </xf>
    <xf numFmtId="0" fontId="24" fillId="9" borderId="0" xfId="4" applyFont="1" applyFill="1" applyProtection="1">
      <protection hidden="1"/>
    </xf>
    <xf numFmtId="0" fontId="24" fillId="9" borderId="0" xfId="4" applyFont="1" applyFill="1" applyAlignment="1" applyProtection="1">
      <alignment horizontal="left"/>
      <protection hidden="1"/>
    </xf>
    <xf numFmtId="0" fontId="15" fillId="2" borderId="11" xfId="4" applyFont="1" applyFill="1" applyBorder="1" applyAlignment="1" applyProtection="1">
      <alignment horizontal="left"/>
      <protection hidden="1"/>
    </xf>
    <xf numFmtId="0" fontId="15" fillId="2" borderId="11" xfId="4" applyFont="1" applyFill="1" applyBorder="1" applyAlignment="1" applyProtection="1">
      <alignment horizontal="right"/>
      <protection hidden="1"/>
    </xf>
    <xf numFmtId="0" fontId="4" fillId="2" borderId="9" xfId="4" applyFont="1" applyFill="1" applyBorder="1" applyProtection="1">
      <protection hidden="1"/>
    </xf>
    <xf numFmtId="0" fontId="4" fillId="2" borderId="10" xfId="4" applyFont="1" applyFill="1" applyBorder="1" applyProtection="1">
      <protection hidden="1"/>
    </xf>
    <xf numFmtId="0" fontId="18" fillId="2" borderId="10" xfId="4" applyFont="1" applyFill="1" applyBorder="1" applyProtection="1">
      <protection hidden="1"/>
    </xf>
    <xf numFmtId="0" fontId="17" fillId="2" borderId="11" xfId="4" applyFont="1" applyFill="1" applyBorder="1" applyProtection="1">
      <protection hidden="1"/>
    </xf>
    <xf numFmtId="166" fontId="17" fillId="2" borderId="11" xfId="4" applyNumberFormat="1" applyFont="1" applyFill="1" applyBorder="1" applyAlignment="1" applyProtection="1">
      <alignment horizontal="center"/>
      <protection hidden="1"/>
    </xf>
    <xf numFmtId="166" fontId="18" fillId="2" borderId="9" xfId="4" applyNumberFormat="1" applyFont="1" applyFill="1" applyBorder="1" applyAlignment="1" applyProtection="1">
      <alignment horizontal="center"/>
      <protection hidden="1"/>
    </xf>
    <xf numFmtId="0" fontId="4" fillId="9" borderId="10" xfId="4" applyFont="1" applyFill="1" applyBorder="1" applyProtection="1">
      <protection hidden="1"/>
    </xf>
    <xf numFmtId="0" fontId="16" fillId="9" borderId="11" xfId="4" applyFont="1" applyFill="1" applyBorder="1" applyProtection="1">
      <protection hidden="1"/>
    </xf>
    <xf numFmtId="0" fontId="17" fillId="9" borderId="11" xfId="4" applyFont="1" applyFill="1" applyBorder="1" applyProtection="1">
      <protection hidden="1"/>
    </xf>
    <xf numFmtId="166" fontId="16" fillId="9" borderId="11" xfId="4" applyNumberFormat="1" applyFont="1" applyFill="1" applyBorder="1" applyAlignment="1" applyProtection="1">
      <alignment horizontal="right"/>
      <protection hidden="1"/>
    </xf>
    <xf numFmtId="0" fontId="4" fillId="9" borderId="9" xfId="4" applyFont="1" applyFill="1" applyBorder="1" applyProtection="1">
      <protection hidden="1"/>
    </xf>
    <xf numFmtId="0" fontId="4" fillId="0" borderId="1" xfId="4" applyFont="1" applyFill="1" applyBorder="1" applyAlignment="1" applyProtection="1">
      <alignment horizontal="left" vertical="center"/>
      <protection hidden="1"/>
    </xf>
    <xf numFmtId="0" fontId="4" fillId="0" borderId="9" xfId="4" applyFont="1" applyFill="1" applyBorder="1" applyProtection="1">
      <protection hidden="1"/>
    </xf>
    <xf numFmtId="0" fontId="4" fillId="0" borderId="9" xfId="4" applyFont="1" applyFill="1" applyBorder="1" applyAlignment="1" applyProtection="1">
      <protection hidden="1"/>
    </xf>
    <xf numFmtId="0" fontId="4" fillId="0" borderId="9" xfId="4" applyFont="1" applyFill="1" applyBorder="1" applyAlignment="1" applyProtection="1">
      <alignment horizontal="left"/>
      <protection hidden="1"/>
    </xf>
    <xf numFmtId="0" fontId="4" fillId="12" borderId="1" xfId="4" applyFont="1" applyFill="1" applyBorder="1" applyProtection="1">
      <protection hidden="1"/>
    </xf>
    <xf numFmtId="0" fontId="31" fillId="0" borderId="0" xfId="4" applyFont="1" applyProtection="1">
      <protection hidden="1"/>
    </xf>
    <xf numFmtId="0" fontId="32" fillId="2" borderId="11" xfId="4" applyFont="1" applyFill="1" applyBorder="1" applyAlignment="1" applyProtection="1">
      <alignment horizontal="left"/>
      <protection hidden="1"/>
    </xf>
    <xf numFmtId="0" fontId="31" fillId="9" borderId="11" xfId="4" applyFont="1" applyFill="1" applyBorder="1" applyProtection="1">
      <protection hidden="1"/>
    </xf>
    <xf numFmtId="0" fontId="33" fillId="2" borderId="11" xfId="4" applyFont="1" applyFill="1" applyBorder="1" applyProtection="1">
      <protection hidden="1"/>
    </xf>
    <xf numFmtId="0" fontId="31" fillId="9" borderId="0" xfId="4" applyFont="1" applyFill="1" applyProtection="1">
      <protection hidden="1"/>
    </xf>
    <xf numFmtId="0" fontId="34" fillId="9" borderId="0" xfId="4" applyFont="1" applyFill="1" applyProtection="1">
      <protection hidden="1"/>
    </xf>
    <xf numFmtId="0" fontId="34" fillId="0" borderId="0" xfId="4" applyFont="1" applyFill="1" applyProtection="1">
      <protection hidden="1"/>
    </xf>
    <xf numFmtId="0" fontId="4" fillId="0" borderId="1" xfId="4" applyFont="1" applyBorder="1" applyAlignment="1" applyProtection="1">
      <alignment horizontal="left" vertical="center" wrapText="1"/>
      <protection hidden="1"/>
    </xf>
    <xf numFmtId="0" fontId="4" fillId="14" borderId="1" xfId="4" applyFont="1" applyFill="1" applyBorder="1" applyProtection="1">
      <protection hidden="1"/>
    </xf>
    <xf numFmtId="14" fontId="0" fillId="0" borderId="0" xfId="0" applyNumberFormat="1"/>
    <xf numFmtId="0" fontId="2" fillId="2" borderId="0" xfId="0" applyNumberFormat="1" applyFont="1" applyFill="1" applyBorder="1" applyAlignment="1">
      <alignment horizontal="center" vertical="center" wrapText="1"/>
    </xf>
    <xf numFmtId="0" fontId="10" fillId="7" borderId="0" xfId="1" applyNumberFormat="1" applyFont="1"/>
    <xf numFmtId="0" fontId="0" fillId="0" borderId="0" xfId="0" applyNumberFormat="1"/>
    <xf numFmtId="0" fontId="0" fillId="15" borderId="0" xfId="0" applyFill="1"/>
    <xf numFmtId="0" fontId="4" fillId="16" borderId="1" xfId="4" applyFont="1" applyFill="1" applyBorder="1" applyProtection="1">
      <protection hidden="1"/>
    </xf>
    <xf numFmtId="2" fontId="0" fillId="0" borderId="0" xfId="7" applyNumberFormat="1" applyFont="1" applyFill="1"/>
    <xf numFmtId="2" fontId="0" fillId="0" borderId="0" xfId="0" applyNumberFormat="1" applyFill="1"/>
    <xf numFmtId="0" fontId="0" fillId="17" borderId="0" xfId="0" applyFill="1"/>
    <xf numFmtId="0" fontId="13" fillId="17" borderId="0" xfId="0" applyFont="1" applyFill="1"/>
    <xf numFmtId="2" fontId="0" fillId="0" borderId="0" xfId="0" applyNumberFormat="1"/>
    <xf numFmtId="14" fontId="1" fillId="0" borderId="0" xfId="0" applyNumberFormat="1" applyFont="1"/>
    <xf numFmtId="165" fontId="36" fillId="7" borderId="0" xfId="1" applyNumberFormat="1" applyFont="1"/>
    <xf numFmtId="2" fontId="0" fillId="6" borderId="0" xfId="0" applyNumberFormat="1" applyFill="1"/>
    <xf numFmtId="0" fontId="2" fillId="17" borderId="0" xfId="0" applyFont="1" applyFill="1" applyAlignment="1">
      <alignment vertical="center"/>
    </xf>
    <xf numFmtId="0" fontId="23" fillId="17" borderId="0" xfId="0" applyFont="1" applyFill="1" applyBorder="1" applyAlignment="1">
      <alignment horizontal="center" vertical="center" wrapText="1"/>
    </xf>
    <xf numFmtId="0" fontId="4" fillId="11" borderId="0" xfId="8" applyFont="1" applyFill="1"/>
    <xf numFmtId="0" fontId="4" fillId="0" borderId="0" xfId="9"/>
    <xf numFmtId="4" fontId="4" fillId="11" borderId="0" xfId="9" applyNumberFormat="1" applyFill="1" applyAlignment="1">
      <alignment horizontal="center"/>
    </xf>
    <xf numFmtId="0" fontId="4" fillId="0" borderId="0" xfId="8"/>
    <xf numFmtId="0" fontId="3" fillId="11" borderId="0" xfId="9" applyFont="1" applyFill="1"/>
    <xf numFmtId="0" fontId="3" fillId="11" borderId="1" xfId="9" applyFont="1" applyFill="1" applyBorder="1"/>
    <xf numFmtId="0" fontId="3" fillId="0" borderId="0" xfId="8" applyFont="1"/>
    <xf numFmtId="4" fontId="27" fillId="2" borderId="0" xfId="9" applyNumberFormat="1" applyFont="1" applyFill="1" applyAlignment="1">
      <alignment horizontal="center" vertical="center" wrapText="1"/>
    </xf>
    <xf numFmtId="1" fontId="10" fillId="7" borderId="0" xfId="1" applyNumberFormat="1" applyFont="1"/>
    <xf numFmtId="14" fontId="0" fillId="0" borderId="0" xfId="0" applyNumberFormat="1" applyAlignment="1">
      <alignment horizontal="left"/>
    </xf>
    <xf numFmtId="0" fontId="1" fillId="17" borderId="0" xfId="0" applyFont="1" applyFill="1"/>
    <xf numFmtId="1" fontId="10" fillId="17" borderId="0" xfId="1" applyNumberFormat="1" applyFont="1" applyFill="1"/>
    <xf numFmtId="0" fontId="37" fillId="9" borderId="0" xfId="4" applyFont="1" applyFill="1" applyProtection="1">
      <protection hidden="1"/>
    </xf>
    <xf numFmtId="0" fontId="31" fillId="9" borderId="0" xfId="4" applyFont="1" applyFill="1" applyBorder="1" applyProtection="1">
      <protection hidden="1"/>
    </xf>
    <xf numFmtId="0" fontId="31" fillId="9" borderId="8" xfId="4" applyFont="1" applyFill="1" applyBorder="1" applyProtection="1">
      <protection hidden="1"/>
    </xf>
    <xf numFmtId="0" fontId="38" fillId="9" borderId="0" xfId="4" applyFont="1" applyFill="1" applyBorder="1" applyProtection="1">
      <protection hidden="1"/>
    </xf>
    <xf numFmtId="0" fontId="38" fillId="9" borderId="0" xfId="4" applyFont="1" applyFill="1" applyProtection="1">
      <protection hidden="1"/>
    </xf>
    <xf numFmtId="10" fontId="39" fillId="17" borderId="0" xfId="10" applyNumberFormat="1" applyFont="1" applyFill="1"/>
    <xf numFmtId="10" fontId="39" fillId="15" borderId="0" xfId="10" applyNumberFormat="1" applyFont="1" applyFill="1"/>
    <xf numFmtId="9" fontId="0" fillId="15" borderId="0" xfId="0" applyNumberFormat="1" applyFont="1" applyFill="1"/>
    <xf numFmtId="9" fontId="0" fillId="15" borderId="0" xfId="0" applyNumberFormat="1" applyFill="1"/>
    <xf numFmtId="1" fontId="0" fillId="0" borderId="0" xfId="0" applyNumberFormat="1"/>
    <xf numFmtId="0" fontId="0" fillId="13" borderId="0" xfId="0" applyFill="1"/>
    <xf numFmtId="0" fontId="4" fillId="0" borderId="0" xfId="9" applyFill="1"/>
    <xf numFmtId="0" fontId="3" fillId="0" borderId="0" xfId="9" applyFont="1" applyFill="1"/>
    <xf numFmtId="4" fontId="27" fillId="0" borderId="0" xfId="9" applyNumberFormat="1" applyFont="1" applyFill="1" applyAlignment="1">
      <alignment horizontal="center" vertical="center" wrapText="1"/>
    </xf>
    <xf numFmtId="0" fontId="40" fillId="6" borderId="0" xfId="9" applyFont="1" applyFill="1"/>
    <xf numFmtId="10" fontId="4" fillId="6" borderId="0" xfId="10" applyNumberFormat="1" applyFont="1" applyFill="1"/>
    <xf numFmtId="49" fontId="0" fillId="0" borderId="0" xfId="0" applyNumberFormat="1" applyAlignment="1" applyProtection="1">
      <alignment horizontal="left"/>
      <protection locked="0"/>
    </xf>
    <xf numFmtId="10" fontId="0" fillId="13" borderId="0" xfId="0" applyNumberFormat="1" applyFill="1"/>
    <xf numFmtId="10" fontId="0" fillId="17" borderId="0" xfId="10" applyNumberFormat="1" applyFont="1" applyFill="1"/>
    <xf numFmtId="10" fontId="0" fillId="0" borderId="0" xfId="10" applyNumberFormat="1" applyFont="1"/>
    <xf numFmtId="14" fontId="0" fillId="0" borderId="0" xfId="0" applyNumberFormat="1" applyFill="1" applyAlignment="1">
      <alignment horizontal="left"/>
    </xf>
    <xf numFmtId="10" fontId="0" fillId="0" borderId="0" xfId="10" applyNumberFormat="1" applyFont="1" applyFill="1"/>
    <xf numFmtId="14" fontId="0" fillId="0" borderId="0" xfId="0" applyNumberFormat="1" applyFill="1"/>
    <xf numFmtId="10" fontId="0" fillId="17" borderId="0" xfId="0" applyNumberFormat="1" applyFill="1"/>
    <xf numFmtId="0" fontId="0" fillId="0" borderId="0" xfId="0" applyFill="1" applyAlignment="1">
      <alignment horizontal="left"/>
    </xf>
    <xf numFmtId="0" fontId="4" fillId="6" borderId="1" xfId="4" applyFont="1" applyFill="1" applyBorder="1" applyAlignment="1" applyProtection="1">
      <alignment horizontal="left" vertical="center"/>
      <protection locked="0"/>
    </xf>
    <xf numFmtId="165" fontId="10" fillId="15" borderId="0" xfId="1" applyNumberFormat="1" applyFont="1" applyFill="1"/>
    <xf numFmtId="0" fontId="10" fillId="15" borderId="0" xfId="1" applyFont="1" applyFill="1" applyBorder="1" applyAlignment="1">
      <alignment vertical="center"/>
    </xf>
    <xf numFmtId="0" fontId="4" fillId="0" borderId="1" xfId="4" applyFont="1" applyFill="1" applyBorder="1" applyAlignment="1" applyProtection="1">
      <alignment horizontal="left" vertical="center"/>
      <protection locked="0"/>
    </xf>
    <xf numFmtId="0" fontId="43" fillId="9" borderId="0" xfId="4" applyFont="1" applyFill="1" applyBorder="1" applyProtection="1">
      <protection locked="0" hidden="1"/>
    </xf>
    <xf numFmtId="0" fontId="3" fillId="0" borderId="10" xfId="4" applyFont="1" applyBorder="1" applyAlignment="1" applyProtection="1">
      <alignment horizontal="center"/>
      <protection hidden="1"/>
    </xf>
    <xf numFmtId="0" fontId="3" fillId="0" borderId="11" xfId="4" applyFont="1" applyBorder="1" applyAlignment="1" applyProtection="1">
      <alignment horizontal="center"/>
      <protection hidden="1"/>
    </xf>
    <xf numFmtId="0" fontId="3" fillId="0" borderId="9" xfId="4" applyFont="1" applyBorder="1" applyAlignment="1" applyProtection="1">
      <alignment horizontal="center"/>
      <protection hidden="1"/>
    </xf>
  </cellXfs>
  <cellStyles count="11">
    <cellStyle name="Comma 2" xfId="7" xr:uid="{00000000-0005-0000-0000-000000000000}"/>
    <cellStyle name="Currency 2" xfId="5" xr:uid="{00000000-0005-0000-0000-000001000000}"/>
    <cellStyle name="Good" xfId="1" builtinId="26"/>
    <cellStyle name="Input" xfId="2" builtinId="20"/>
    <cellStyle name="Normal" xfId="0" builtinId="0"/>
    <cellStyle name="Normal 2" xfId="4" xr:uid="{00000000-0005-0000-0000-000005000000}"/>
    <cellStyle name="Normal 2 2" xfId="9" xr:uid="{00000000-0005-0000-0000-000006000000}"/>
    <cellStyle name="Normal 3" xfId="3" xr:uid="{00000000-0005-0000-0000-000007000000}"/>
    <cellStyle name="Normal 4" xfId="8" xr:uid="{00000000-0005-0000-0000-000008000000}"/>
    <cellStyle name="Percent" xfId="10" builtinId="5"/>
    <cellStyle name="Percent 2" xfId="6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7A7"/>
      <color rgb="FFFFFFCC"/>
      <color rgb="FFFF7C80"/>
      <color rgb="FFFF5D5D"/>
      <color rgb="FFFF434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1752782</xdr:colOff>
      <xdr:row>4</xdr:row>
      <xdr:rowOff>139978</xdr:rowOff>
    </xdr:to>
    <xdr:pic>
      <xdr:nvPicPr>
        <xdr:cNvPr id="15" name="Picture 111">
          <a:extLst>
            <a:ext uri="{FF2B5EF4-FFF2-40B4-BE49-F238E27FC236}">
              <a16:creationId xmlns:a16="http://schemas.microsoft.com/office/drawing/2014/main" id="{6A534212-80D4-4345-B7EE-8FF6EC634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71450"/>
          <a:ext cx="1752782" cy="8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R54"/>
  <sheetViews>
    <sheetView showGridLines="0" tabSelected="1" zoomScale="70" zoomScaleNormal="70" workbookViewId="0">
      <pane ySplit="5" topLeftCell="A6" activePane="bottomLeft" state="frozen"/>
      <selection activeCell="F7" sqref="F7"/>
      <selection pane="bottomLeft" activeCell="F33" sqref="F33"/>
    </sheetView>
  </sheetViews>
  <sheetFormatPr defaultColWidth="11.42578125" defaultRowHeight="12.75" outlineLevelCol="2" x14ac:dyDescent="0.2"/>
  <cols>
    <col min="1" max="1" width="3.5703125" style="41" customWidth="1"/>
    <col min="2" max="2" width="2.5703125" style="41" customWidth="1"/>
    <col min="3" max="3" width="24.5703125" style="41" customWidth="1"/>
    <col min="4" max="4" width="5.140625" style="41" hidden="1" customWidth="1"/>
    <col min="5" max="5" width="4.5703125" style="130" customWidth="1"/>
    <col min="6" max="6" width="52.5703125" style="41" customWidth="1"/>
    <col min="7" max="7" width="2.5703125" style="41" customWidth="1"/>
    <col min="8" max="8" width="22.5703125" style="43" customWidth="1"/>
    <col min="9" max="9" width="3.140625" style="41" customWidth="1"/>
    <col min="10" max="10" width="5" style="41" customWidth="1"/>
    <col min="11" max="11" width="26.28515625" style="41" customWidth="1"/>
    <col min="12" max="12" width="3.85546875" style="41" customWidth="1"/>
    <col min="13" max="13" width="6.42578125" style="41" hidden="1" customWidth="1"/>
    <col min="14" max="14" width="13.85546875" style="41" hidden="1" customWidth="1"/>
    <col min="15" max="15" width="16.42578125" style="41" hidden="1" customWidth="1" outlineLevel="1"/>
    <col min="16" max="16" width="23.5703125" style="41" hidden="1" customWidth="1" outlineLevel="1"/>
    <col min="17" max="17" width="12.42578125" style="41" hidden="1" customWidth="1" outlineLevel="1"/>
    <col min="18" max="18" width="28.28515625" style="41" hidden="1" customWidth="1" outlineLevel="1"/>
    <col min="19" max="19" width="10.7109375" style="41" hidden="1" customWidth="1" outlineLevel="1"/>
    <col min="20" max="21" width="20.5703125" style="41" hidden="1" customWidth="1" outlineLevel="1"/>
    <col min="22" max="22" width="14.5703125" style="41" hidden="1" customWidth="1" collapsed="1"/>
    <col min="23" max="23" width="15.140625" style="41" hidden="1" customWidth="1" outlineLevel="1"/>
    <col min="24" max="24" width="16.42578125" style="41" hidden="1" customWidth="1" outlineLevel="1"/>
    <col min="25" max="30" width="11.42578125" style="41" hidden="1" customWidth="1" outlineLevel="1"/>
    <col min="31" max="31" width="11.42578125" style="41" hidden="1" customWidth="1" collapsed="1"/>
    <col min="32" max="42" width="11.42578125" style="41" hidden="1" customWidth="1" outlineLevel="2"/>
    <col min="43" max="43" width="11.42578125" style="41" hidden="1" customWidth="1" collapsed="1"/>
    <col min="44" max="44" width="11.42578125" style="41" hidden="1" customWidth="1"/>
    <col min="45" max="45" width="11.42578125" style="41" customWidth="1"/>
    <col min="46" max="16384" width="11.42578125" style="41"/>
  </cols>
  <sheetData>
    <row r="1" spans="2:43" ht="14.1" customHeight="1" x14ac:dyDescent="0.2">
      <c r="F1" s="42"/>
      <c r="G1" s="42"/>
      <c r="K1" s="44"/>
    </row>
    <row r="2" spans="2:43" ht="35.25" customHeight="1" x14ac:dyDescent="0.4">
      <c r="B2" s="115"/>
      <c r="C2" s="112" t="s">
        <v>379</v>
      </c>
      <c r="D2" s="112"/>
      <c r="E2" s="131"/>
      <c r="F2" s="112" t="s">
        <v>521</v>
      </c>
      <c r="G2" s="112"/>
      <c r="H2" s="113"/>
      <c r="I2" s="114"/>
      <c r="J2" s="45"/>
      <c r="K2" s="44"/>
    </row>
    <row r="3" spans="2:43" ht="6" customHeight="1" x14ac:dyDescent="0.25">
      <c r="B3" s="120"/>
      <c r="C3" s="121"/>
      <c r="D3" s="121"/>
      <c r="E3" s="132"/>
      <c r="F3" s="122"/>
      <c r="G3" s="122"/>
      <c r="H3" s="123"/>
      <c r="I3" s="124"/>
      <c r="J3" s="47"/>
    </row>
    <row r="4" spans="2:43" s="48" customFormat="1" ht="15.95" customHeight="1" x14ac:dyDescent="0.25">
      <c r="B4" s="116"/>
      <c r="C4" s="117" t="s">
        <v>381</v>
      </c>
      <c r="D4" s="117"/>
      <c r="E4" s="133"/>
      <c r="F4" s="117" t="s">
        <v>382</v>
      </c>
      <c r="G4" s="117"/>
      <c r="H4" s="118" t="s">
        <v>522</v>
      </c>
      <c r="I4" s="119"/>
      <c r="J4" s="47"/>
    </row>
    <row r="5" spans="2:43" s="48" customFormat="1" ht="15.95" customHeight="1" x14ac:dyDescent="0.2">
      <c r="B5" s="49"/>
      <c r="C5" s="49"/>
      <c r="D5" s="49"/>
      <c r="E5" s="134"/>
      <c r="F5" s="49"/>
      <c r="G5" s="49"/>
      <c r="H5" s="50"/>
      <c r="I5" s="49"/>
      <c r="J5" s="41"/>
    </row>
    <row r="6" spans="2:43" ht="30" hidden="1" customHeight="1" x14ac:dyDescent="0.2">
      <c r="B6" s="46"/>
      <c r="C6" s="97" t="s">
        <v>383</v>
      </c>
      <c r="D6" s="97"/>
      <c r="E6" s="134"/>
      <c r="F6" s="49"/>
      <c r="G6" s="49"/>
      <c r="H6" s="107"/>
      <c r="I6" s="51"/>
    </row>
    <row r="7" spans="2:43" s="57" customFormat="1" ht="30" customHeight="1" x14ac:dyDescent="0.25">
      <c r="B7" s="52"/>
      <c r="C7" s="97" t="s">
        <v>393</v>
      </c>
      <c r="D7" s="97" t="str">
        <f>+VLOOKUP($E7,'Pricing Conditions M1 SCBA'!$G:$J,2,FALSE)</f>
        <v>RE</v>
      </c>
      <c r="E7" s="196">
        <f>+VLOOKUP(F7,'Pricing Conditions M1 SCBA'!$B:$J,6,FALSE)</f>
        <v>1</v>
      </c>
      <c r="F7" s="98" t="s">
        <v>4</v>
      </c>
      <c r="G7" s="52"/>
      <c r="H7" s="107">
        <f>+VLOOKUP($F7,'Pricing Conditions M1 SCBA'!B:F,5,FALSE)</f>
        <v>284</v>
      </c>
      <c r="I7" s="53"/>
      <c r="J7" s="54"/>
      <c r="K7" s="55" t="s">
        <v>385</v>
      </c>
      <c r="L7" s="56"/>
      <c r="N7" s="99" t="s">
        <v>406</v>
      </c>
      <c r="O7" s="197" t="s">
        <v>10</v>
      </c>
      <c r="P7" s="198"/>
      <c r="Q7" s="198"/>
      <c r="R7" s="198"/>
      <c r="S7" s="198"/>
      <c r="T7" s="198"/>
      <c r="U7" s="199"/>
      <c r="V7" s="100" t="s">
        <v>10</v>
      </c>
      <c r="W7" s="109" t="s">
        <v>7</v>
      </c>
      <c r="X7" s="109"/>
      <c r="Y7" s="109"/>
      <c r="Z7" s="109"/>
      <c r="AA7" s="109"/>
      <c r="AB7" s="109"/>
      <c r="AC7" s="109"/>
      <c r="AD7" s="109"/>
      <c r="AE7" s="100" t="s">
        <v>7</v>
      </c>
      <c r="AF7" s="109" t="s">
        <v>3</v>
      </c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0" t="s">
        <v>3</v>
      </c>
    </row>
    <row r="8" spans="2:43" ht="30" customHeight="1" x14ac:dyDescent="0.2">
      <c r="B8" s="46"/>
      <c r="C8" s="96" t="s">
        <v>394</v>
      </c>
      <c r="D8" s="97" t="str">
        <f>+VLOOKUP($E8,'Pricing Conditions M1 SCBA'!$G:$J,2,FALSE)</f>
        <v>C4</v>
      </c>
      <c r="E8" s="196">
        <f>+VLOOKUP(F8,'Pricing Conditions M1 SCBA'!$B:$J,6,FALSE)</f>
        <v>8</v>
      </c>
      <c r="F8" s="98" t="s">
        <v>23</v>
      </c>
      <c r="G8" s="52"/>
      <c r="H8" s="107" t="str">
        <f>_xlfn.IFS($F$7="WO- Set without 2nd Stg",$O8,$F$7="LO- M1 LGDV only",$N8,$F$7="FI- Set with fixed 2nd Stg",$W8,$F$7="RE- Set with removable 2nd stg",$AF8)</f>
        <v>n/a</v>
      </c>
      <c r="I8" s="59"/>
      <c r="J8" s="60"/>
      <c r="K8" s="58"/>
      <c r="L8" s="61"/>
      <c r="N8" s="101" t="str">
        <f>+IF(VLOOKUP($E$7,'Pricing Conditions M1 SCBA'!$G$2:$J$5,1,FALSE)=4,IF(OR(E8=6),VLOOKUP($F8,'Pricing Conditions M1 SCBA'!B:F,5,FALSE),"Not Compatible"),"Not Compatible")</f>
        <v>Not Compatible</v>
      </c>
      <c r="O8" s="101" t="str">
        <f>+IF(VLOOKUP($E$7,'Pricing Conditions M1 SCBA'!$G$2:$J$5,1,FALSE)=3,IF(OR(E8=8,E8=10,E8=11,E8=12),VLOOKUP($F8,'Pricing Conditions M1 SCBA'!B:F,5,FALSE),"Not Compatible"),"Not Compatible")</f>
        <v>Not Compatible</v>
      </c>
      <c r="P8" s="126"/>
      <c r="Q8" s="103"/>
      <c r="R8" s="103"/>
      <c r="S8" s="103"/>
      <c r="T8" s="103"/>
      <c r="U8" s="103"/>
      <c r="W8" s="101" t="str">
        <f>+IF(VLOOKUP($E$7,'Pricing Conditions M1 SCBA'!$G$2:$J$5,1,FALSE)=2,IF(OR(E8=8,E8=10,E8=11,E8=12),VLOOKUP($F8,'Pricing Conditions M1 SCBA'!B:F,5,FALSE),"Not Compatible"),"Not Compatible")</f>
        <v>Not Compatible</v>
      </c>
      <c r="X8" s="100" t="b">
        <f>+VLOOKUP($E$7,'Pricing Conditions M1 SCBA'!$G$2:$J$5,1,FALSE)=2</f>
        <v>0</v>
      </c>
      <c r="Y8" s="100" t="str">
        <f>+IF(OR(E8=8),VLOOKUP($F8,'Pricing Conditions M1 SCBA'!B:F,5,FALSE),"Not Compatible")</f>
        <v>n/a</v>
      </c>
      <c r="Z8" s="100"/>
      <c r="AA8" s="100"/>
      <c r="AB8" s="100"/>
      <c r="AC8" s="100"/>
      <c r="AD8" s="100"/>
      <c r="AF8" s="101" t="str">
        <f>+IF(VLOOKUP($E$7,'Pricing Conditions M1 SCBA'!$G$2:$J$5,1,FALSE)=1,IF(OR(E8=8,E8=10,E8=11,E8=12),VLOOKUP($F8,'Pricing Conditions M1 SCBA'!B:F,5,FALSE),"Not Compatible"),"Not Compatible")</f>
        <v>n/a</v>
      </c>
      <c r="AG8" s="100" t="b">
        <f>+VLOOKUP($E$7,'Pricing Conditions M1 SCBA'!$G$2:$J$5,1,FALSE)=1</f>
        <v>1</v>
      </c>
      <c r="AH8" s="100" t="str">
        <f>+IF(OR(E8=8),VLOOKUP($F8,'Pricing Conditions M1 SCBA'!B:F,5,FALSE),"Not Compatible")</f>
        <v>n/a</v>
      </c>
      <c r="AI8" s="100"/>
      <c r="AJ8" s="100"/>
      <c r="AK8" s="100"/>
      <c r="AL8" s="100"/>
      <c r="AM8" s="100"/>
      <c r="AN8" s="100"/>
      <c r="AO8" s="100"/>
      <c r="AP8" s="100"/>
    </row>
    <row r="9" spans="2:43" ht="30" customHeight="1" x14ac:dyDescent="0.2">
      <c r="B9" s="46"/>
      <c r="C9" s="96" t="s">
        <v>395</v>
      </c>
      <c r="D9" s="97" t="str">
        <f>+VLOOKUP($E9,'Pricing Conditions M1 SCBA'!$G:$J,2,FALSE)</f>
        <v>BNA</v>
      </c>
      <c r="E9" s="196">
        <f>+VLOOKUP(F9,'Pricing Conditions M1 SCBA'!$B:$J,6,FALSE)</f>
        <v>15</v>
      </c>
      <c r="F9" s="195" t="s">
        <v>30</v>
      </c>
      <c r="G9" s="46"/>
      <c r="H9" s="107">
        <f>_xlfn.IFS($F$7="WO- Set without 2nd Stg",$O9,$F$7="LO- M1 LGDV only",$N9,$F$7="FI- Set with fixed 2nd Stg",$W9,$F$7="RE- Set with removable 2nd stg",$AF9)</f>
        <v>174</v>
      </c>
      <c r="I9" s="59"/>
      <c r="J9" s="60"/>
      <c r="K9" s="58"/>
      <c r="L9" s="61"/>
      <c r="N9" s="101" t="str">
        <f>+IF(VLOOKUP($E$7,'Pricing Conditions M1 SCBA'!$G$2:$J$5,1,FALSE)=4,IF(OR(E9=14),VLOOKUP($F9,'Pricing Conditions M1 SCBA'!B:F,5,FALSE),"Not Compatible"),"Not Compatible")</f>
        <v>Not Compatible</v>
      </c>
      <c r="O9" s="101" t="str">
        <f>+IF(VLOOKUP($E$7,'Pricing Conditions M1 SCBA'!$G$2:$J$5,1,FALSE)=3,IF(OR(E9=15,E9=16,E9=17,E9=22, E9=23, E9=24),VLOOKUP($F9,'Pricing Conditions M1 SCBA'!B:F,5,FALSE),"Not Compatible"),"Not Compatible")</f>
        <v>Not Compatible</v>
      </c>
      <c r="P9" s="126"/>
      <c r="Q9" s="103"/>
      <c r="R9" s="103"/>
      <c r="S9" s="103"/>
      <c r="T9" s="103"/>
      <c r="U9" s="103"/>
      <c r="W9" s="101" t="str">
        <f>+IF(VLOOKUP($E$7,'Pricing Conditions M1 SCBA'!$G$2:$J$5,1,FALSE)=2,IF(OR(E9=15,E9=16),VLOOKUP($F9,'Pricing Conditions M1 SCBA'!B:F,5,FALSE),"Not Compatible"),"Not Compatible")</f>
        <v>Not Compatible</v>
      </c>
      <c r="X9" s="100" t="b">
        <f>+VLOOKUP($E$7,'Pricing Conditions M1 SCBA'!$G$2:$J$5,1,FALSE)=2</f>
        <v>0</v>
      </c>
      <c r="Y9" s="100" t="str">
        <f>+IF(OR(E9=12,E9=13),VLOOKUP($F9,'Pricing Conditions M1 SCBA'!B:F,5,FALSE),"Not Compatible")</f>
        <v>Not Compatible</v>
      </c>
      <c r="Z9" s="100"/>
      <c r="AA9" s="100"/>
      <c r="AB9" s="100"/>
      <c r="AC9" s="100"/>
      <c r="AD9" s="100"/>
      <c r="AF9" s="101">
        <f>+IF(VLOOKUP($E$7,'Pricing Conditions M1 SCBA'!$G$2:$J$5,1,FALSE)=1,IF(OR(E9=15,E9=16,E9=17, E9=22, E9=23, E9=24),VLOOKUP($F9,'Pricing Conditions M1 SCBA'!B:F,5,FALSE),"Not Compatible"),"Not Compatible")</f>
        <v>174</v>
      </c>
      <c r="AG9" s="100" t="b">
        <f>+VLOOKUP($E$7,'Pricing Conditions M1 SCBA'!$G$2:$J$5,1,FALSE)=1</f>
        <v>1</v>
      </c>
      <c r="AH9" s="100" t="str">
        <f>+IF(OR(E9=12,E9=13,E9=14,E9=19, E9=20, E9=21 ),VLOOKUP($F9,'Pricing Conditions M1 SCBA'!B:F,5,FALSE),"Not Compatible")</f>
        <v>Not Compatible</v>
      </c>
      <c r="AI9" s="100"/>
      <c r="AJ9" s="100"/>
      <c r="AK9" s="100"/>
      <c r="AL9" s="100"/>
      <c r="AM9" s="100"/>
      <c r="AN9" s="100"/>
      <c r="AO9" s="100"/>
      <c r="AP9" s="100"/>
    </row>
    <row r="10" spans="2:43" ht="30" customHeight="1" x14ac:dyDescent="0.2">
      <c r="B10" s="46"/>
      <c r="C10" s="96" t="s">
        <v>396</v>
      </c>
      <c r="D10" s="97" t="str">
        <f>+VLOOKUP($E10,'Pricing Conditions M1 SCBA'!$G:$J,2,FALSE)</f>
        <v>EV</v>
      </c>
      <c r="E10" s="196">
        <f>+VLOOKUP(F10,'Pricing Conditions M1 SCBA'!$B:$J,6,FALSE)</f>
        <v>35</v>
      </c>
      <c r="F10" s="195" t="s">
        <v>103</v>
      </c>
      <c r="G10" s="46"/>
      <c r="H10" s="107">
        <f>_xlfn.IFS($F$7="WO- Set without 2nd Stg",$O10,$F$7="LO- M1 LGDV only",$N10,$F$7="FI- Set with fixed 2nd Stg",$W10,$F$7="RE- Set with removable 2nd stg",$AF10)</f>
        <v>171</v>
      </c>
      <c r="I10" s="59"/>
      <c r="J10" s="62"/>
      <c r="K10" s="58"/>
      <c r="L10" s="61"/>
      <c r="N10" s="101" t="str">
        <f>+IF(VLOOKUP($E$7,'Pricing Conditions M1 SCBA'!$G$2:$J$5,1,FALSE)=4,IF(OR(E10=26),VLOOKUP($F10,'Pricing Conditions M1 SCBA'!B:F,5,FALSE),"Not Compatible"),"Not Compatible")</f>
        <v>Not Compatible</v>
      </c>
      <c r="O10" s="101" t="str">
        <f>+IF(VLOOKUP($E$7,'Pricing Conditions M1 SCBA'!$G$2:$J$5,1,FALSE)=3,IF(OR(E10=26,E10=27,E10=28,E10=29,E10=31,E10=32,E10=33,E10=34,E10=35,E10=36,E10=37),VLOOKUP($F10,'Pricing Conditions M1 SCBA'!B:F,5,FALSE),"Not Compatible"),"next")</f>
        <v>next</v>
      </c>
      <c r="P10" s="126"/>
      <c r="Q10" s="103"/>
      <c r="R10" s="103"/>
      <c r="S10" s="103"/>
      <c r="T10" s="103"/>
      <c r="U10" s="103"/>
      <c r="W10" s="101" t="str">
        <f>+IF(VLOOKUP($E$7,'Pricing Conditions M1 SCBA'!$G$2:$J$5,1,FALSE)=2,IF(OR(E10=26,E10=27,E10=28,E10=29,E10=31,E10=32,E10=33,E10=34,E10=35,E10=36,E10=37),VLOOKUP($F10,'Pricing Conditions M1 SCBA'!B:F,5,FALSE),"Not Compatible"),"Not Compatible")</f>
        <v>Not Compatible</v>
      </c>
      <c r="X10" s="100" t="b">
        <f>+VLOOKUP($E$7,'Pricing Conditions M1 SCBA'!$G$2:$J$5,1,FALSE)=2</f>
        <v>0</v>
      </c>
      <c r="Y10" s="100" t="str">
        <f>+IF(OR(E10=23,E10=24,E10=26,E10=28),VLOOKUP($F10,'Pricing Conditions M1 SCBA'!B:F,5,FALSE),"Not Compatible")</f>
        <v>Not Compatible</v>
      </c>
      <c r="Z10" s="100"/>
      <c r="AA10" s="100"/>
      <c r="AB10" s="100"/>
      <c r="AC10" s="100"/>
      <c r="AD10" s="100"/>
      <c r="AF10" s="101">
        <f>+IF(VLOOKUP($E$7,'Pricing Conditions M1 SCBA'!$G$2:$J$5,1,FALSE)=1,IF(OR(E10=26,E10=27,E10=28,E10=29,E10=31,E10=32,E10=33,E10=34,E10=35,E10=36,E10=37),VLOOKUP($F10,'Pricing Conditions M1 SCBA'!B:F,5,FALSE),"Not Compatible"),"Not Compatible")</f>
        <v>171</v>
      </c>
      <c r="AG10" s="100" t="b">
        <f>+VLOOKUP($E$7,'Pricing Conditions M1 SCBA'!$G$2:$J$5,1,FALSE)=1</f>
        <v>1</v>
      </c>
      <c r="AH10" s="100" t="str">
        <f>+IF(OR(E10=23,E10=24,E10=26,E10=28),VLOOKUP($F10,'Pricing Conditions M1 SCBA'!B:F,5,FALSE),"Not Compatible")</f>
        <v>Not Compatible</v>
      </c>
      <c r="AI10" s="100"/>
      <c r="AJ10" s="100"/>
      <c r="AK10" s="100"/>
      <c r="AL10" s="100"/>
      <c r="AM10" s="100"/>
      <c r="AN10" s="100"/>
      <c r="AO10" s="100"/>
      <c r="AP10" s="100"/>
    </row>
    <row r="11" spans="2:43" ht="30" customHeight="1" x14ac:dyDescent="0.2">
      <c r="B11" s="46"/>
      <c r="C11" s="96" t="s">
        <v>397</v>
      </c>
      <c r="D11" s="97" t="str">
        <f>+VLOOKUP($E11,'Pricing Conditions M1 SCBA'!$G:$J,2,FALSE)</f>
        <v>TP</v>
      </c>
      <c r="E11" s="196">
        <f>+VLOOKUP(F11,'Pricing Conditions M1 SCBA'!$B:$J,6,FALSE)</f>
        <v>41</v>
      </c>
      <c r="F11" s="195" t="s">
        <v>122</v>
      </c>
      <c r="G11" s="46"/>
      <c r="H11" s="107">
        <f>_xlfn.IFS($F$7="WO- Set without 2nd Stg",$O11,$F$7="LO- M1 LGDV only",$N11,$F$7="FI- Set with fixed 2nd Stg",$W11,$F$7="RE- Set with removable 2nd stg",$AF11)</f>
        <v>70</v>
      </c>
      <c r="I11" s="59"/>
      <c r="J11" s="60"/>
      <c r="K11" s="58"/>
      <c r="L11" s="61"/>
      <c r="N11" s="101" t="str">
        <f>+IF(VLOOKUP($E$7,'Pricing Conditions M1 SCBA'!$G$2:$J$5,1,FALSE)=4,IF(OR(E11=39),VLOOKUP($F11,'Pricing Conditions M1 SCBA'!B:F,5,FALSE),"Not Compatible"),"Not Compatible")</f>
        <v>Not Compatible</v>
      </c>
      <c r="O11" s="101" t="str">
        <f>+IF(VLOOKUP($E$7,'Pricing Conditions M1 SCBA'!$G$2:$J$5,1,FALSE)=3,IF(OR(E11=40,E11=41,E11=42,E11=43),VLOOKUP($F11,'Pricing Conditions M1 SCBA'!B:F,5,FALSE),"Not Compatible"),"next")</f>
        <v>next</v>
      </c>
      <c r="P11" s="126"/>
      <c r="Q11" s="103"/>
      <c r="R11" s="103"/>
      <c r="S11" s="103"/>
      <c r="T11" s="103"/>
      <c r="U11" s="103"/>
      <c r="W11" s="105" t="str">
        <f>+IF(VLOOKUP($E$7,'Pricing Conditions M1 SCBA'!$G$2:$J$5,1,FALSE)=2,IF(OR(E11=40,E11=41),VLOOKUP($F11,'Pricing Conditions M1 SCBA'!B:F,5,FALSE),"Not Compatible"),"Not Compatible")</f>
        <v>Not Compatible</v>
      </c>
      <c r="X11" s="102" t="b">
        <f>+VLOOKUP($E$7,'Pricing Conditions M1 SCBA'!$G$2:$J$5,1,FALSE)=2</f>
        <v>0</v>
      </c>
      <c r="Y11" s="102" t="str">
        <f>+IF(OR(E11=37,E11=38),VLOOKUP($F11,'Pricing Conditions M1 SCBA'!B:F,5,FALSE),"Not Compatible")</f>
        <v>Not Compatible</v>
      </c>
      <c r="Z11" s="102"/>
      <c r="AA11" s="102"/>
      <c r="AB11" s="102"/>
      <c r="AC11" s="102"/>
      <c r="AD11" s="102"/>
      <c r="AF11" s="105">
        <f>+IF(VLOOKUP($E$7,'Pricing Conditions M1 SCBA'!$G$2:$J$5,1,FALSE)=1,IF(OR(E11=40,E11=41,E11=42,E11=43),VLOOKUP($F11,'Pricing Conditions M1 SCBA'!B:F,5,FALSE),"Not Compatible"),"Not Compatible")</f>
        <v>70</v>
      </c>
      <c r="AG11" s="102" t="b">
        <f>+VLOOKUP($E$7,'Pricing Conditions M1 SCBA'!$G$2:$J$5,1,FALSE)=1</f>
        <v>1</v>
      </c>
      <c r="AH11" s="102" t="str">
        <f>+IF(OR(E11=37,E11=38,E11=39,E11=40),VLOOKUP($F11,'Pricing Conditions M1 SCBA'!B:F,5,FALSE),"Not Compatible")</f>
        <v>Not Compatible</v>
      </c>
      <c r="AI11" s="102"/>
      <c r="AJ11" s="102"/>
      <c r="AK11" s="102"/>
      <c r="AL11" s="102"/>
      <c r="AM11" s="102"/>
      <c r="AN11" s="102"/>
      <c r="AO11" s="102"/>
      <c r="AP11" s="100"/>
    </row>
    <row r="12" spans="2:43" ht="30" hidden="1" customHeight="1" x14ac:dyDescent="0.2">
      <c r="B12" s="46"/>
      <c r="C12" s="96"/>
      <c r="D12" s="97"/>
      <c r="E12" s="196"/>
      <c r="F12" s="195"/>
      <c r="G12" s="46"/>
      <c r="H12" s="107"/>
      <c r="I12" s="59"/>
      <c r="J12" s="60"/>
      <c r="K12" s="58"/>
      <c r="L12" s="61"/>
      <c r="N12" s="103"/>
      <c r="O12" s="103"/>
      <c r="P12" s="126" t="s">
        <v>408</v>
      </c>
      <c r="Q12" s="103" t="s">
        <v>407</v>
      </c>
      <c r="R12" s="103"/>
      <c r="S12" s="103"/>
      <c r="T12" s="103"/>
      <c r="U12" s="103"/>
      <c r="W12" s="102" t="s">
        <v>416</v>
      </c>
      <c r="X12" s="102" t="s">
        <v>417</v>
      </c>
      <c r="Y12" s="102" t="s">
        <v>410</v>
      </c>
      <c r="Z12" s="102" t="s">
        <v>418</v>
      </c>
      <c r="AA12" s="102" t="s">
        <v>419</v>
      </c>
      <c r="AB12" s="102"/>
      <c r="AC12" s="102" t="s">
        <v>420</v>
      </c>
      <c r="AD12" s="102" t="s">
        <v>421</v>
      </c>
      <c r="AF12" s="137" t="s">
        <v>434</v>
      </c>
      <c r="AG12" s="102" t="s">
        <v>417</v>
      </c>
      <c r="AH12" s="102" t="s">
        <v>426</v>
      </c>
      <c r="AI12" s="102" t="s">
        <v>410</v>
      </c>
      <c r="AJ12" s="102" t="s">
        <v>433</v>
      </c>
      <c r="AL12" s="102"/>
      <c r="AM12" s="102"/>
      <c r="AN12" s="102"/>
      <c r="AO12" s="102" t="s">
        <v>427</v>
      </c>
      <c r="AP12" s="100" t="s">
        <v>411</v>
      </c>
    </row>
    <row r="13" spans="2:43" ht="30" customHeight="1" x14ac:dyDescent="0.2">
      <c r="B13" s="46"/>
      <c r="C13" s="96" t="s">
        <v>384</v>
      </c>
      <c r="D13" s="97" t="str">
        <f>+VLOOKUP($E13,'Pricing Conditions M1 SCBA'!$G:$J,2,FALSE)</f>
        <v>BM</v>
      </c>
      <c r="E13" s="196">
        <f>+VLOOKUP(F13,'Pricing Conditions M1 SCBA'!$B:$J,6,FALSE)</f>
        <v>47</v>
      </c>
      <c r="F13" s="195" t="s">
        <v>140</v>
      </c>
      <c r="G13" s="46"/>
      <c r="H13" s="107">
        <f>_xlfn.IFS($F$7="WO- Set without 2nd Stg",$O13,$F$7="LO- M1 LGDV only",$N13,$F$7="FI- Set with fixed 2nd Stg",$W13,$F$7="RE- Set with removable 2nd stg",$AF13)</f>
        <v>284</v>
      </c>
      <c r="I13" s="59"/>
      <c r="J13" s="60"/>
      <c r="K13" s="58"/>
      <c r="L13" s="61"/>
      <c r="N13" s="101" t="str">
        <f>+IF(VLOOKUP($E$7,'Pricing Conditions M1 SCBA'!$G$2:$J$5,1,FALSE)=4,IF(OR(E13=45),VLOOKUP($F13,'Pricing Conditions M1 SCBA'!B:F,5,FALSE),"Not Compatible"),"Not Compatible")</f>
        <v>Not Compatible</v>
      </c>
      <c r="O13" s="101" t="b">
        <f>+IF(AND(E7=3,E9=15),(IF(E9=15,IF(OR(E13=46,E13=47,E13=48,E13=49,E13=50),(VLOOKUP(F13,'Pricing Conditions M1 SCBA'!$B:$F,5,FALSE)),"nicht kompatibel"),"nicht kompatibel")),IF(AND(E7=3,OR(E9=16,E9=17,E9=22,E9=23,E9=24)),(IF(OR(E9=16,E9=17,E9=22,E9=23,E9=24),IF(OR(E13=48,E13=49),(VLOOKUP(F13,'Pricing Conditions M1 SCBA'!$B:$F,5,FALSE)),IF(AND(E7=3,OR(E9=16,E9=17)),(IF(OR(E9=16,E9=17,),IF(OR(E13=48,E13=49,E13=50),(VLOOKUP(F13,'Pricing Conditions M1 SCBA'!$B:$F,5,FALSE)),"Not Compatible"),"Not Compatible")),"Not Compatible"))))))</f>
        <v>0</v>
      </c>
      <c r="P13" s="126" t="str">
        <f>(IF(E9=12,IF(OR(E13=43,E13=44,E13=45,E13=46),(VLOOKUP(F13,'Pricing Conditions M1 SCBA'!$B:$F,5,FALSE)),"Not Compatible"),"Not Compatible"))</f>
        <v>Not Compatible</v>
      </c>
      <c r="Q13" s="103" t="str">
        <f>(IF(OR(E9=13,E9=14, E9=19, E9=20, E9=21),IF(OR(E13=45,E13=46),(VLOOKUP(F13,'Pricing Conditions M1 SCBA'!$B:$F,5,FALSE)),"Not Compatible"),"Not Compatible"))</f>
        <v>Not Compatible</v>
      </c>
      <c r="R13" s="103">
        <f>(VLOOKUP(F13,'Pricing Conditions M1 SCBA'!$B:$F,5,FALSE))</f>
        <v>284</v>
      </c>
      <c r="S13" s="103"/>
      <c r="T13" s="103" t="str">
        <f>+IF(AND(E7=3,E9=12),(IF(E9=12,IF(OR(E13=43,E13=44,E13=45,E13=46),(VLOOKUP(F13,'Pricing Conditions M1 SCBA'!$B:$F,5,FALSE)),"Not Compatible"),"Not Compatible")),IF(AND(E7=3,OR(E9=13,E9=14, E9=19, E9=20, E9=21)),(IF(OR(E9=13,E9=14, E9=19, E9=20, E9=21),IF(OR(E13=45,E13=46),(VLOOKUP(F13,'Pricing Conditions M1 SCBA'!$B:$F,5,FALSE)),"Not Compatible"),"Not Compatible")),"Not Compatible"))</f>
        <v>Not Compatible</v>
      </c>
      <c r="U13" s="103"/>
      <c r="W13" s="101" t="str">
        <f>+IF(VLOOKUP($E$7,'Pricing Conditions M1 SCBA'!$G$2:$J$5,1,FALSE)=2,IF(AND((OR(E9=15)),OR(E13=46,E13=47,E13=48,E13=49)),IF(OR(E13=46,E13=47,E13=48,E13=49),VLOOKUP($F13,'Pricing Conditions M1 SCBA'!B:F,5,FALSE),"Not Compatible"),IF(AND((OR(E9=16,E9=17)),OR(E13=48,E13=49)),IF(OR(E13=46,E13=47,E13=48,E13=49),VLOOKUP($F13,'Pricing Conditions M1 SCBA'!B:F,5,FALSE),"Not Compatible"),"not compatible")),IF(AND((OR(E9=16,E9=17)),OR(E13=48,E13=49)),IF(OR(E13=46,E13=47,E13=48,E13=49),VLOOKUP($F13,'Pricing Conditions M1 SCBA'!B:F,5,FALSE),"Not Compatible"),"not compatible"))</f>
        <v>not compatible</v>
      </c>
      <c r="X13" s="100" t="b">
        <f>+VLOOKUP($E$7,'Pricing Conditions M1 SCBA'!$G$2:$J$5,1,FALSE)=2</f>
        <v>0</v>
      </c>
      <c r="Y13" s="100" t="str">
        <f>+IF(OR(E9=12),VLOOKUP($F13,'Pricing Conditions M1 SCBA'!B:F,5,FALSE),"Not Compatible")</f>
        <v>Not Compatible</v>
      </c>
      <c r="Z13" s="100" t="str">
        <f>+IF(OR(E13=43,E13=44,E13=45,E13=46),VLOOKUP($F13,'Pricing Conditions M1 SCBA'!B:F,5,FALSE),"Not Compatible")</f>
        <v>Not Compatible</v>
      </c>
      <c r="AA13" s="100" t="str">
        <f>+IF(AND((OR(E9=12)),OR(E13=43,E13=44,E13=45,E13=46)),IF(OR(E13=43,E13=44,E13=45,E13=46),VLOOKUP($F13,'Pricing Conditions M1 SCBA'!B:F,5,FALSE),"Not Compatible"),"not compatible")</f>
        <v>not compatible</v>
      </c>
      <c r="AB13" s="100" t="b">
        <f>+AND((OR(E9=12)),OR(E13=43,E13=44,E13=45,E13=46))</f>
        <v>0</v>
      </c>
      <c r="AC13" s="100" t="str">
        <f>+IF(AND((OR(E9=12)),OR(E13=43,E13=44,E13=45,E13=46)),IF(OR(E13=43,E13=44,E13=45,E13=46),VLOOKUP($F13,'Pricing Conditions M1 SCBA'!B:F,5,FALSE),"Not Compatible"),IF(AND((OR(E9=13,E9=14)),OR(E13=45,E13=46)),IF(OR(E13=43,E13=44,E13=45,E13=46),VLOOKUP($F13,'Pricing Conditions M1 SCBA'!B:F,5,FALSE),"Not Compatible"),"not compatible"))</f>
        <v>not compatible</v>
      </c>
      <c r="AD13" s="100" t="str">
        <f>+IF(AND((OR(E9=13,E9=14)),OR(E13=45,E13=46)),IF(OR(E13=43,E13=44,E13=45,E13=46),VLOOKUP($F13,'Pricing Conditions M1 SCBA'!B:F,5,FALSE),"Not Compatible"),"not compatible")</f>
        <v>not compatible</v>
      </c>
      <c r="AF13" s="138">
        <f>+IF(VLOOKUP($E$7,'Pricing Conditions M1 SCBA'!$G$2:$J$5,1,FALSE)=1,IF(AND((OR(E9=15,)),OR(E13=46,E13=47,E13=48,E13=49,E13=50)),VLOOKUP($F13,'Pricing Conditions M1 SCBA'!B:F,5,FALSE),IF(VLOOKUP($E$7,'Pricing Conditions M1 SCBA'!$G$2:$J$5,1,FALSE)=1,IF(AND((OR(E9=16,E9=17,)),OR(E13=48,E13=49,E13=50)),VLOOKUP($F13,'Pricing Conditions M1 SCBA'!B:F,5,FALSE),IF(AND((OR(E9=16,E9=17,E9=22,E9=23,E9=24)),OR(E13=48,E13=49,)),VLOOKUP($F13,'Pricing Conditions M1 SCBA'!B:F,5,FALSE),"Not Compatible")),"Not Compatible")))</f>
        <v>284</v>
      </c>
      <c r="AG13" s="100" t="b">
        <f>+VLOOKUP($E$7,'Pricing Conditions M1 SCBA'!$G$2:$J$5,1,FALSE)=1</f>
        <v>1</v>
      </c>
      <c r="AH13" s="100" t="b">
        <f>AND((OR(E9=12)),OR(E13=43,E13=44,E13=45,E13=46))</f>
        <v>0</v>
      </c>
      <c r="AI13" s="100" t="str">
        <f>+IF(AND((OR(E9=13,E9=14, E9=19, E9=20, E9=21)),OR(E13=45,E13=46)),VLOOKUP($F13,'Pricing Conditions M1 SCBA'!B:F,5,FALSE),"Not Compatible")</f>
        <v>Not Compatible</v>
      </c>
      <c r="AJ13" s="100" t="str">
        <f>+IF(AND((OR(E9=12)),OR(E13=43,E13=44,E13=45,E13=46)),VLOOKUP($F13,'Pricing Conditions M1 SCBA'!B:F,5,FALSE),IF(AND((OR(E9=13,E9=14,E9=19, E9=20, E9=21 )),OR(E13=45,E13=46)),VLOOKUP($F13,'Pricing Conditions M1 SCBA'!B:F,5,FALSE),"Not Compatible"))</f>
        <v>Not Compatible</v>
      </c>
      <c r="AK13" s="100"/>
      <c r="AL13" s="100"/>
      <c r="AM13" s="100"/>
      <c r="AN13" s="100"/>
      <c r="AO13" s="100" t="b">
        <f>AND((OR(E9=13,E9=14,E9=19, E9=20, E9=21 )),OR(E13=45,E13=46))</f>
        <v>0</v>
      </c>
      <c r="AP13" s="100" t="str">
        <f>+IF(AND((OR(E9=12)),OR(E13=43,E13=44,E13=45,E13=46)),VLOOKUP($F13,'Pricing Conditions M1 SCBA'!B:F,5,FALSE),"Not Compatible")</f>
        <v>Not Compatible</v>
      </c>
    </row>
    <row r="14" spans="2:43" ht="30" hidden="1" customHeight="1" x14ac:dyDescent="0.2">
      <c r="B14" s="46"/>
      <c r="C14" s="96"/>
      <c r="D14" s="97"/>
      <c r="E14" s="196"/>
      <c r="F14" s="195"/>
      <c r="G14" s="46"/>
      <c r="H14" s="107"/>
      <c r="I14" s="59"/>
      <c r="J14" s="60"/>
      <c r="K14" s="58"/>
      <c r="L14" s="61"/>
      <c r="N14" s="103"/>
      <c r="O14" s="103"/>
      <c r="P14" s="126"/>
      <c r="Q14" s="103"/>
      <c r="R14" s="103"/>
      <c r="S14" s="103" t="s">
        <v>412</v>
      </c>
      <c r="T14" s="103" t="s">
        <v>411</v>
      </c>
      <c r="U14" s="45" t="s">
        <v>410</v>
      </c>
      <c r="W14" s="100" t="s">
        <v>422</v>
      </c>
      <c r="X14" s="100"/>
      <c r="Y14" s="100" t="s">
        <v>410</v>
      </c>
      <c r="Z14" s="100" t="s">
        <v>418</v>
      </c>
      <c r="AA14" s="102" t="s">
        <v>419</v>
      </c>
      <c r="AB14" s="100"/>
      <c r="AC14" s="100" t="s">
        <v>423</v>
      </c>
      <c r="AD14" s="100" t="s">
        <v>421</v>
      </c>
      <c r="AF14" s="100" t="s">
        <v>422</v>
      </c>
      <c r="AG14" s="100"/>
      <c r="AH14" s="100" t="s">
        <v>410</v>
      </c>
      <c r="AI14" s="100" t="s">
        <v>418</v>
      </c>
      <c r="AJ14" s="102" t="s">
        <v>419</v>
      </c>
      <c r="AK14" s="100"/>
      <c r="AL14" s="100" t="s">
        <v>423</v>
      </c>
      <c r="AM14" s="100" t="s">
        <v>421</v>
      </c>
      <c r="AN14" s="100"/>
      <c r="AO14" s="100"/>
      <c r="AP14" s="100"/>
    </row>
    <row r="15" spans="2:43" ht="30" customHeight="1" x14ac:dyDescent="0.2">
      <c r="B15" s="46"/>
      <c r="C15" s="96" t="s">
        <v>398</v>
      </c>
      <c r="D15" s="97" t="str">
        <f>+VLOOKUP($E15,'Pricing Conditions M1 SCBA'!$G:$J,2,FALSE)</f>
        <v>GN</v>
      </c>
      <c r="E15" s="196">
        <f>+VLOOKUP(F15,'Pricing Conditions M1 SCBA'!$B:$J,6,FALSE)</f>
        <v>52</v>
      </c>
      <c r="F15" s="195" t="s">
        <v>154</v>
      </c>
      <c r="G15" s="46"/>
      <c r="H15" s="107" t="str">
        <f>_xlfn.IFS($F$7="WO- Set without 2nd Stg",$O15,$F$7="LO- M1 LGDV only",$N15,$F$7="FI- Set with fixed 2nd Stg",$W15,$F$7="RE- Set with removable 2nd stg",$AF15)</f>
        <v>n/a</v>
      </c>
      <c r="I15" s="59"/>
      <c r="J15" s="60"/>
      <c r="K15" s="58"/>
      <c r="L15" s="61"/>
      <c r="N15" s="101" t="str">
        <f>+IF(VLOOKUP($E$7,'Pricing Conditions M1 SCBA'!$G$2:$J$5,1,FALSE)=4,IF(OR(E15=52),VLOOKUP($F15,'Pricing Conditions M1 SCBA'!B:F,5,FALSE),"Not Compatible"),"Not Compatible")</f>
        <v>Not Compatible</v>
      </c>
      <c r="O15" s="101" t="str">
        <f>+IF(AND(E7=3,OR(E15=52,E15=555)),IF(AND(E9=15,OR(E13=46,E13=47)),VLOOKUP(F15,'Pricing Conditions M1 SCBA'!$B:$F,5,FALSE),IF(AND(E7=3,OR(E15=52,E15=55,E15=53,E15=58)),IF(AND(OR(E9=15,E9=16,E9=17, E9=22, E9=23, E9=24),OR(E13=48,E13=49,E13=50)),VLOOKUP(F15,'Pricing Conditions M1 SCBA'!$B:$F,5,FALSE),"Not compatible"),"Not Compatible")),IF(AND(E7=3,OR(E15=52,E15=53,E15=54,E15=55,E15=56,E15=57,E15=58,E15=59)),IF(AND(OR(E9=15,E9=16,E9=17, E9=22, E9=23, E9=24),OR(E13=48,E13=49,E13=50)),VLOOKUP(F15,'Pricing Conditions M1 SCBA'!$B:$F,5,FALSE),"Not compatible"),"Not Compatible"))</f>
        <v>Not Compatible</v>
      </c>
      <c r="P15" s="126"/>
      <c r="Q15" s="103"/>
      <c r="R15" s="106"/>
      <c r="S15" s="103" t="str">
        <f>+IF(AND(E7=3,OR(E15=49,E15=52)),IF(AND(E9=12,OR(E13=43,E13=44)),VLOOKUP(F15,'Pricing Conditions M1 SCBA'!$B:$F,5,FALSE),IF(AND(E7=3,OR(E15=49,E15=52,E15=50,E15=55)),IF(AND(OR(E9=12,E9=13,E9=14, E9=19, E9=20, E9=21),OR(E13=45,E13=46)),VLOOKUP(F15,'Pricing Conditions M1 SCBA'!$B:$F,5,FALSE),"Not compatible"),"Not Compatible")),IF(AND(E7=3,OR(E15=49,E15=52,E15=50,E15=55)),IF(AND(OR(E9=12,E9=13,E9=14, E9=19, E9=20, E9=21),OR(E13=45,E13=46)),VLOOKUP(F15,'Pricing Conditions M1 SCBA'!$B:$F,5,FALSE),"Not compatible"),"Not Compatible"))</f>
        <v>Not Compatible</v>
      </c>
      <c r="T15" s="103" t="str">
        <f>+IF(AND(E7=3,OR(E15=49,E15=52)),IF(AND(E9=12,OR(E13=43,E13=44)),VLOOKUP(F15,'Pricing Conditions M1 SCBA'!$B:$F,5,FALSE),"Not compatible"),"follow B")</f>
        <v>follow B</v>
      </c>
      <c r="U15" s="103" t="str">
        <f>+IF(AND(E7=3,OR(E15=49,E15=52,E15=50,E15=55)),IF(AND(OR(E9=12,E9=13,E9=14,E9=19,E9=20,E9=21 ),OR(E13=45,E13=46)),VLOOKUP(F15,'Pricing Conditions M1 SCBA'!$B:$F,5,FALSE),"Not compatible"),"Not Compatible")</f>
        <v>Not Compatible</v>
      </c>
      <c r="W15" s="101" t="str">
        <f>+IF(VLOOKUP($E$7,'Pricing Conditions M1 SCBA'!$G$2:$J$5,1,FALSE)=2,IF(AND(E9=15,(OR(E15=52,E15=55))),VLOOKUP($F15,'Pricing Conditions M1 SCBA'!B:F,5,FALSE),IF(AND((OR(E9=15,E9=16,E9=17)),OR(E13=48,E13=49)),IF(OR(E15=52,E15=53,E15=55,E15=58),VLOOKUP($F15,'Pricing Conditions M1 SCBA'!B:F,5,FALSE),"Not Compatible"),"not compatible")),"Not Compatible")</f>
        <v>Not Compatible</v>
      </c>
      <c r="X15" s="100" t="b">
        <f>+VLOOKUP($E$7,'Pricing Conditions M1 SCBA'!$G$2:$J$5,1,FALSE)=2</f>
        <v>0</v>
      </c>
      <c r="Y15" s="100" t="str">
        <f>+IF(AND(E9=12,(OR(E13=43,E13=44))),VLOOKUP($F9,'Pricing Conditions M1 SCBA'!B:F,5,FALSE),"Not Compatible")</f>
        <v>Not Compatible</v>
      </c>
      <c r="Z15" s="100" t="str">
        <f>+IF(AND(E9=12,(OR(E15=49,E15=52))),VLOOKUP($F15,'Pricing Conditions M1 SCBA'!B:F,5,FALSE),"Not Compatible")</f>
        <v>Not Compatible</v>
      </c>
      <c r="AA15" s="100" t="str">
        <f>+IF(AND(E9=12,(OR(E13=43,E13=44))),VLOOKUP($F9,'Pricing Conditions M1 SCBA'!B:F,5,FALSE),IF(AND(E9=12,(OR(E15=49,E15=52))),VLOOKUP($F15,'Pricing Conditions M1 SCBA'!B:F,5,FALSE),"Not Compatible"))</f>
        <v>Not Compatible</v>
      </c>
      <c r="AB15" s="100"/>
      <c r="AC15" s="100" t="str">
        <f>+IF(AND(E9=12,(OR(E15=49,E15=52))),VLOOKUP($F15,'Pricing Conditions M1 SCBA'!B:F,5,FALSE),IF(AND((OR(E9,12,E9=13,E9=14)),OR(E13=45,E13=46)),IF(OR(E15=49,E15=50,E15=52,E15=55),VLOOKUP($F15,'Pricing Conditions M1 SCBA'!B:F,5,FALSE),"Not Compatible"),"not compatible"))</f>
        <v>not compatible</v>
      </c>
      <c r="AD15" s="100" t="str">
        <f>+IF(AND((OR(E9,12,E9=13,E9=14)),OR(E13=45,E13=46)),IF(OR(E15=49,E15=50,E15=52,E15=55),VLOOKUP($F15,'Pricing Conditions M1 SCBA'!B:F,5,FALSE),"Not Compatible"),"not compatible")</f>
        <v>not compatible</v>
      </c>
      <c r="AF15" s="101" t="str">
        <f>+IF(VLOOKUP($E$7,'Pricing Conditions M1 SCBA'!$G$2:$J$5,1,FALSE)=1,IF(AND(E9=15,(OR(E15=52,E15=55))),VLOOKUP($F15,'Pricing Conditions M1 SCBA'!B:F,5,FALSE),IF(AND((OR(E9=15,E9=16,E9=17,E9=22,E9=23,E9=24)),OR(E13=48,E13=49,E13=50)),IF(OR(E15=52,E15=53,E15=54,E15=55,E15=56,E15=57,E15=58,E15=59),VLOOKUP($F15,'Pricing Conditions M1 SCBA'!B:F,5,FALSE),"Not Compatible"),"Not compatible")),"Not Compatible")</f>
        <v>n/a</v>
      </c>
      <c r="AG15" s="100" t="b">
        <f>+VLOOKUP($E$7,'Pricing Conditions M1 SCBA'!$G$2:$J$5,1,FALSE)=1</f>
        <v>1</v>
      </c>
      <c r="AH15" s="100" t="str">
        <f>+IF(AND(E9=12,(OR(E13=43,E13=44))),VLOOKUP($F9,'Pricing Conditions M1 SCBA'!B:F,5,FALSE),"Not Compatible")</f>
        <v>Not Compatible</v>
      </c>
      <c r="AI15" s="100" t="str">
        <f>+IF(AND(E9=12,(OR(E15=49,E15=52))),VLOOKUP($F15,'Pricing Conditions M1 SCBA'!B:F,5,FALSE),"Not Compatible")</f>
        <v>Not Compatible</v>
      </c>
      <c r="AJ15" s="100" t="str">
        <f>+IF(AND(E9=12,(OR(E13=43,E13=44))),VLOOKUP($F9,'Pricing Conditions M1 SCBA'!B:F,5,FALSE),IF(AND(E9=12,(OR(E15=49,E15=52))),VLOOKUP($F15,'Pricing Conditions M1 SCBA'!B:F,5,FALSE),"Not Compatible"))</f>
        <v>Not Compatible</v>
      </c>
      <c r="AK15" s="100"/>
      <c r="AL15" s="100" t="str">
        <f>+IF(AND(E9=12,(OR(E15=49,E15=52))),VLOOKUP($F15,'Pricing Conditions M1 SCBA'!B:F,5,FALSE),IF(AND((OR(E9=12,E9=13,E9=14)),OR(E13=45,E13=46)),IF(OR(E15=49,E15=50,E15=52,E15=55),VLOOKUP($F15,'Pricing Conditions M1 SCBA'!B:F,5,FALSE),"Not Compatible"),"Not compatible"))</f>
        <v>Not compatible</v>
      </c>
      <c r="AM15" s="100" t="str">
        <f>+IF(AND((OR(E9=12,E9=13,E9=14)),OR(E13=45,E13=46)),IF(OR(E15=49,E15=50,E15=52,E15=55),VLOOKUP($F15,'Pricing Conditions M1 SCBA'!B:F,5,FALSE),"Not Compatible"),"Not compatible")</f>
        <v>Not compatible</v>
      </c>
      <c r="AN15" s="100"/>
      <c r="AO15" s="100"/>
      <c r="AP15" s="100"/>
    </row>
    <row r="16" spans="2:43" ht="30" hidden="1" customHeight="1" x14ac:dyDescent="0.2">
      <c r="B16" s="46"/>
      <c r="C16" s="96"/>
      <c r="D16" s="97"/>
      <c r="E16" s="196"/>
      <c r="F16" s="195"/>
      <c r="G16" s="46"/>
      <c r="H16" s="107"/>
      <c r="I16" s="59"/>
      <c r="J16" s="60"/>
      <c r="K16" s="58"/>
      <c r="L16" s="61"/>
      <c r="N16" s="103"/>
      <c r="O16" s="103"/>
      <c r="P16" s="126"/>
      <c r="Q16" s="103"/>
      <c r="R16" s="103"/>
      <c r="S16" s="103"/>
      <c r="T16" s="103" t="s">
        <v>409</v>
      </c>
      <c r="U16" s="103"/>
      <c r="W16" s="100"/>
      <c r="X16" s="100"/>
      <c r="Y16" s="100"/>
      <c r="Z16" s="100"/>
      <c r="AA16" s="100"/>
      <c r="AB16" s="100"/>
      <c r="AC16" s="100"/>
      <c r="AD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</row>
    <row r="17" spans="2:42" ht="30" customHeight="1" x14ac:dyDescent="0.2">
      <c r="B17" s="46"/>
      <c r="C17" s="96" t="s">
        <v>386</v>
      </c>
      <c r="D17" s="97" t="str">
        <f>+VLOOKUP($E17,'Pricing Conditions M1 SCBA'!$G:$J,2,FALSE)</f>
        <v>C1</v>
      </c>
      <c r="E17" s="196">
        <f>+VLOOKUP(F17,'Pricing Conditions M1 SCBA'!$B:$J,6,FALSE)</f>
        <v>63</v>
      </c>
      <c r="F17" s="195" t="s">
        <v>184</v>
      </c>
      <c r="G17" s="46"/>
      <c r="H17" s="107">
        <f>_xlfn.IFS($F$7="WO- Set without 2nd Stg",$O17,$F$7="LO- M1 LGDV only",$N17,$F$7="FI- Set with fixed 2nd Stg",$W17,$F$7="RE- Set with removable 2nd stg",$AF17)</f>
        <v>333</v>
      </c>
      <c r="I17" s="59"/>
      <c r="J17" s="60"/>
      <c r="K17" s="58"/>
      <c r="L17" s="61"/>
      <c r="N17" s="101" t="str">
        <f>+IF(VLOOKUP($E$7,'Pricing Conditions M1 SCBA'!$G$2:$J$5,1,FALSE)=4,IF(OR(E17=61),VLOOKUP($F17,'Pricing Conditions M1 SCBA'!B:F,5,FALSE),"Not Compatible"),"Not Compatible")</f>
        <v>Not Compatible</v>
      </c>
      <c r="O17" s="101">
        <f>IF(OR(E17=62,E17=63,E17=64,E17=65),+VLOOKUP($F17,'Pricing Conditions M1 SCBA'!$B:$F,5,FALSE),"Not Compatible")</f>
        <v>333</v>
      </c>
      <c r="P17" s="127"/>
      <c r="Q17" s="106"/>
      <c r="R17" s="106"/>
      <c r="S17" s="103"/>
      <c r="T17" s="108"/>
      <c r="U17" s="103"/>
      <c r="W17" s="101" t="str">
        <f>+IF(VLOOKUP($E$7,'Pricing Conditions M1 SCBA'!$G$2:$J$5,1,FALSE)=2,IF(OR(E17=62,E17=63,E17=64),VLOOKUP($F17,'Pricing Conditions M1 SCBA'!B:F,5,FALSE),"Not Compatible"),"Not Compatible")</f>
        <v>Not Compatible</v>
      </c>
      <c r="X17" s="100" t="b">
        <f>+VLOOKUP($E$7,'Pricing Conditions M1 SCBA'!$G$2:$J$5,1,FALSE)=2</f>
        <v>0</v>
      </c>
      <c r="Y17" s="100" t="str">
        <f>+IF(OR(E17=59,E17=60,E17=61),VLOOKUP($F17,'Pricing Conditions M1 SCBA'!B:F,5,FALSE),"Not Compatible")</f>
        <v>Not Compatible</v>
      </c>
      <c r="Z17" s="100"/>
      <c r="AA17" s="100"/>
      <c r="AB17" s="100"/>
      <c r="AC17" s="100"/>
      <c r="AD17" s="100"/>
      <c r="AF17" s="101">
        <f>+IF(VLOOKUP($E$7,'Pricing Conditions M1 SCBA'!$G$2:$J$5,1,FALSE)=1,IF(OR(E17=62,E17=63,E17=64,E17=65),VLOOKUP($F17,'Pricing Conditions M1 SCBA'!B:F,5,FALSE),"Not Compatible"),"Not Compatible")</f>
        <v>333</v>
      </c>
      <c r="AG17" s="100" t="b">
        <f>+VLOOKUP($E$7,'Pricing Conditions M1 SCBA'!$G$2:$J$5,1,FALSE)=1</f>
        <v>1</v>
      </c>
      <c r="AH17" s="100" t="str">
        <f>+IF(OR(E17=59,E17=60,E17=61,E17=62),VLOOKUP($F17,'Pricing Conditions M1 SCBA'!B:F,5,FALSE),"Not Compatible")</f>
        <v>Not Compatible</v>
      </c>
      <c r="AI17" s="100"/>
      <c r="AJ17" s="100"/>
      <c r="AK17" s="100"/>
      <c r="AL17" s="100"/>
      <c r="AM17" s="100"/>
      <c r="AN17" s="100"/>
      <c r="AO17" s="100"/>
      <c r="AP17" s="100"/>
    </row>
    <row r="18" spans="2:42" ht="30" hidden="1" customHeight="1" x14ac:dyDescent="0.2">
      <c r="B18" s="46"/>
      <c r="C18" s="96"/>
      <c r="D18" s="97"/>
      <c r="E18" s="196"/>
      <c r="F18" s="195"/>
      <c r="G18" s="46"/>
      <c r="H18" s="107"/>
      <c r="I18" s="59"/>
      <c r="J18" s="60"/>
      <c r="K18" s="58"/>
      <c r="L18" s="61"/>
      <c r="N18" s="103"/>
      <c r="O18" s="103"/>
      <c r="P18" s="106"/>
      <c r="Q18" s="106"/>
      <c r="R18" s="106"/>
      <c r="S18" s="103"/>
      <c r="T18" s="103"/>
      <c r="U18" s="106"/>
      <c r="W18" s="100"/>
      <c r="X18" s="100"/>
      <c r="Y18" s="100"/>
      <c r="Z18" s="100"/>
      <c r="AA18" s="100"/>
      <c r="AB18" s="100"/>
      <c r="AC18" s="100"/>
      <c r="AD18" s="100"/>
      <c r="AF18" s="100" t="s">
        <v>425</v>
      </c>
      <c r="AG18" s="100" t="s">
        <v>417</v>
      </c>
      <c r="AH18" s="100" t="s">
        <v>411</v>
      </c>
      <c r="AI18" s="100" t="s">
        <v>426</v>
      </c>
      <c r="AJ18" s="100" t="s">
        <v>427</v>
      </c>
      <c r="AK18" s="100" t="s">
        <v>410</v>
      </c>
      <c r="AL18" s="100" t="s">
        <v>428</v>
      </c>
      <c r="AM18" s="100" t="s">
        <v>429</v>
      </c>
      <c r="AN18" s="100" t="s">
        <v>414</v>
      </c>
      <c r="AO18" s="100" t="s">
        <v>430</v>
      </c>
      <c r="AP18" s="100" t="s">
        <v>431</v>
      </c>
    </row>
    <row r="19" spans="2:42" ht="30" hidden="1" customHeight="1" x14ac:dyDescent="0.2">
      <c r="B19" s="46"/>
      <c r="C19" s="96"/>
      <c r="D19" s="97"/>
      <c r="E19" s="196"/>
      <c r="F19" s="195"/>
      <c r="G19" s="46"/>
      <c r="H19" s="107"/>
      <c r="I19" s="59"/>
      <c r="J19" s="60"/>
      <c r="K19" s="58"/>
      <c r="L19" s="61"/>
      <c r="N19" s="103"/>
      <c r="O19" s="103"/>
      <c r="P19" s="128" t="s">
        <v>417</v>
      </c>
      <c r="Q19" s="106"/>
      <c r="R19" s="106"/>
      <c r="S19" s="103"/>
      <c r="T19" s="103"/>
      <c r="U19" s="106"/>
      <c r="W19" s="100"/>
      <c r="X19" s="100"/>
      <c r="Y19" s="100"/>
      <c r="Z19" s="100"/>
      <c r="AA19" s="100"/>
      <c r="AB19" s="100"/>
      <c r="AC19" s="100"/>
      <c r="AD19" s="100"/>
      <c r="AF19" s="100"/>
      <c r="AG19" s="100" t="s">
        <v>417</v>
      </c>
      <c r="AH19" s="100"/>
      <c r="AI19" s="100"/>
      <c r="AJ19" s="100"/>
      <c r="AK19" s="100"/>
      <c r="AL19" s="100"/>
      <c r="AM19" s="100"/>
      <c r="AN19" s="100"/>
      <c r="AO19" s="100"/>
      <c r="AP19" s="100"/>
    </row>
    <row r="20" spans="2:42" ht="30" customHeight="1" x14ac:dyDescent="0.2">
      <c r="B20" s="46"/>
      <c r="C20" s="96" t="s">
        <v>399</v>
      </c>
      <c r="D20" s="97" t="str">
        <f>+VLOOKUP($E20,'Pricing Conditions M1 SCBA'!$G:$J,2,FALSE)</f>
        <v>IN</v>
      </c>
      <c r="E20" s="196">
        <f>+VLOOKUP(F20,'Pricing Conditions M1 SCBA'!$B:$J,6,FALSE)</f>
        <v>69</v>
      </c>
      <c r="F20" s="195" t="s">
        <v>199</v>
      </c>
      <c r="G20" s="46"/>
      <c r="H20" s="107" t="str">
        <f>_xlfn.IFS($F$7="WO- Set without 2nd Stg",$O20,$F$7="LO- M1 LGDV only",$N20,$F$7="FI- Set with fixed 2nd Stg",$W20,$F$7="RE- Set with removable 2nd stg",$AF20)</f>
        <v>n/a</v>
      </c>
      <c r="I20" s="59"/>
      <c r="J20" s="60"/>
      <c r="K20" s="58"/>
      <c r="L20" s="61"/>
      <c r="N20" s="101" t="str">
        <f>+IF(VLOOKUP($E$7,'Pricing Conditions M1 SCBA'!$G$2:$J$5,1,FALSE)=4,IF(OR(E20=69),VLOOKUP($F20,'Pricing Conditions M1 SCBA'!B:F,5,FALSE),"Not Compatible"),"Not Compatible")</f>
        <v>Not Compatible</v>
      </c>
      <c r="O20" s="101" t="str">
        <f>+IF(VLOOKUP($E$7,'Pricing Conditions M1 SCBA'!$G$2:$J$5,1,FALSE)=3,IF(AND(E17=62,OR(E13=46,E13=47),OR(E20=69,E20=70)),VLOOKUP($F20,'Pricing Conditions M1 SCBA'!B:F,5,FALSE),IF(AND(E17=62,OR(E13=48,E13=49,E13=50),OR(E20=69,E20=70)),VLOOKUP($F20,'Pricing Conditions M1 SCBA'!B:F,5,FALSE),IF(AND(OR(E17=63,E17=64,E17=65),OR(E20=69,E20=70)),VLOOKUP($F20,'Pricing Conditions M1 SCBA'!B:F,5,FALSE),"Not Compatible"))),"Not Compatible")</f>
        <v>Not Compatible</v>
      </c>
      <c r="P20" s="104" t="b">
        <f>+VLOOKUP($E$7,'Pricing Conditions M1 SCBA'!$G$2:$J$5,1,FALSE)=3</f>
        <v>0</v>
      </c>
      <c r="Q20" s="125" t="str">
        <f>+IF(AND(E17=59,OR(E13=43,E13=44),OR(E20=66,E20=67)),VLOOKUP($F20,'Pricing Conditions M1 SCBA'!B:F,5,FALSE),"Not Compatible")</f>
        <v>Not Compatible</v>
      </c>
      <c r="R20" s="106"/>
      <c r="S20" s="103"/>
      <c r="T20" s="103"/>
      <c r="U20" s="103"/>
      <c r="W20" s="101" t="str">
        <f>+IF(+VLOOKUP($E$7,'Pricing Conditions M1 SCBA'!$G$2:$J$5,1,FALSE)=2,+IF(AND((OR(E17=62,E17=63,E17=64)),(OR(E20=69))),VLOOKUP($F20,'Pricing Conditions M1 SCBA'!B:F,5,FALSE),"Not Compatible"),"Not Compatible")</f>
        <v>Not Compatible</v>
      </c>
      <c r="X20" s="100" t="b">
        <f>+VLOOKUP($E$7,'Pricing Conditions M1 SCBA'!$G$2:$J$5,1,FALSE)=2</f>
        <v>0</v>
      </c>
      <c r="Y20" s="100" t="str">
        <f>+IF(OR(E17=59,E17=60,E17=61),VLOOKUP($F20,'Pricing Conditions M1 SCBA'!B:F,5,FALSE),"Not Compatible")</f>
        <v>Not Compatible</v>
      </c>
      <c r="Z20" s="100" t="b">
        <f>+OR(E17=59,E17=60,E17=61)</f>
        <v>0</v>
      </c>
      <c r="AA20" s="129" t="str">
        <f>+IF(AND((OR(E17=59,E17=60,E17=61)),(OR(E20=66))),VLOOKUP($F20,'Pricing Conditions M1 SCBA'!B:F,5,FALSE),"Not Compatible")</f>
        <v>Not Compatible</v>
      </c>
      <c r="AB20" s="100"/>
      <c r="AC20" s="100"/>
      <c r="AD20" s="100"/>
      <c r="AF20" s="101" t="str">
        <f>+IF(VLOOKUP($E$7,'Pricing Conditions M1 SCBA'!$G$2:$J$5,1,FALSE)=1,IF(AND(E17=62,OR(E13=46,E13=47),OR(E20=69,E20=70)),VLOOKUP($F20,'Pricing Conditions M1 SCBA'!B:F,5,FALSE),IF(AND(E17=62,OR(E13=48,E13=49,E13=50),OR(E20=69,E20=70)),VLOOKUP($F20,'Pricing Conditions M1 SCBA'!B:F,5,FALSE),IF(AND(OR(E17=63,E17=64,E17=65),OR(E20=69,E20=70)),VLOOKUP($F20,'Pricing Conditions M1 SCBA'!B:F,5,FALSE),"Not Compatible"))),"Not Compatible")</f>
        <v>n/a</v>
      </c>
      <c r="AG20" s="100" t="b">
        <f>+VLOOKUP($E$7,'Pricing Conditions M1 SCBA'!$G$2:$J$5,1,FALSE)=1</f>
        <v>1</v>
      </c>
      <c r="AH20" s="129" t="str">
        <f>+IF(AND(E17=59,OR(E13=43,E13=44),OR(E20=66,E20=67)),VLOOKUP($F20,'Pricing Conditions M1 SCBA'!B:F,5,FALSE),"Not Compatible")</f>
        <v>Not Compatible</v>
      </c>
      <c r="AI20" s="100" t="b">
        <f>+AND(E17=59,OR(E13=43,E13=44),OR(E20=66,E20=67))</f>
        <v>0</v>
      </c>
      <c r="AJ20" s="100" t="b">
        <f>+AND(E17=59,OR(E13=45,E13=46),OR(E20=66,E20=67,E20=68,E20=69))</f>
        <v>0</v>
      </c>
      <c r="AK20" s="100" t="str">
        <f>+IF(AND(E17=59,OR(E13=45,E13=46),OR(E20=66,E20=67,E20=68,E20=69)),VLOOKUP($F20,'Pricing Conditions M1 SCBA'!B:F,5,FALSE),"Not Compatible")</f>
        <v>Not Compatible</v>
      </c>
      <c r="AL20" s="100" t="str">
        <f>+IF(AND(E17=59,OR(E13=43,E13=44),OR(E20=66,E20=67)),VLOOKUP($F20,'Pricing Conditions M1 SCBA'!B:F,5,FALSE),IF(AND(E17=59,OR(E13=45,E13=46),OR(E20=66,E20=67,E20=68,E20=69)),VLOOKUP($F20,'Pricing Conditions M1 SCBA'!B:F,5,FALSE),"Not Compatible"))</f>
        <v>Not Compatible</v>
      </c>
      <c r="AM20" s="100" t="b">
        <f>+AND(OR(E17=60,E17=61,E17=62),OR(E20=66,E20=67))</f>
        <v>0</v>
      </c>
      <c r="AN20" s="100" t="str">
        <f>+IF(AND(OR(E17=60,E17=61,E17=62),OR(E20=66,E20=67)),VLOOKUP($F20,'Pricing Conditions M1 SCBA'!B:F,5,FALSE),"Not Compatible")</f>
        <v>Not Compatible</v>
      </c>
      <c r="AO20" s="100" t="str">
        <f>+IF(AND(E17=59,OR(E13=45,E13=46),OR(E20=66,E20=67,E20=68,E20=69)),VLOOKUP($F20,'Pricing Conditions M1 SCBA'!B:F,5,FALSE),IF(AND(OR(E17=60,E17=61,E17=62),OR(E20=66,E20=67)),VLOOKUP($F20,'Pricing Conditions M1 SCBA'!B:F,5,FALSE),"Not Compatible"))</f>
        <v>Not Compatible</v>
      </c>
      <c r="AP20" s="100" t="str">
        <f>+IF(AND(E17=59,OR(E13=43,E13=44),OR(E20=66,E20=67)),VLOOKUP($F20,'Pricing Conditions M1 SCBA'!B:F,5,FALSE),IF(AND(E17=59,OR(E13=45,E13=46),OR(E20=66,E20=67,E20=68,E20=69)),VLOOKUP($F20,'Pricing Conditions M1 SCBA'!B:F,5,FALSE),IF(AND(OR(E17=60,E17=61,E17=62),OR(E20=66,E20=67)),VLOOKUP($F20,'Pricing Conditions M1 SCBA'!B:F,5,FALSE),"Not Compatible")))</f>
        <v>Not Compatible</v>
      </c>
    </row>
    <row r="21" spans="2:42" ht="30" hidden="1" customHeight="1" x14ac:dyDescent="0.2">
      <c r="B21" s="46"/>
      <c r="C21" s="96"/>
      <c r="D21" s="97"/>
      <c r="E21" s="196"/>
      <c r="F21" s="192"/>
      <c r="G21" s="46"/>
      <c r="H21" s="107"/>
      <c r="I21" s="59"/>
      <c r="J21" s="60"/>
      <c r="K21" s="58"/>
      <c r="L21" s="61"/>
      <c r="N21" s="100"/>
      <c r="O21" s="100"/>
      <c r="P21" s="106"/>
      <c r="Q21" s="125"/>
      <c r="R21" s="106" t="s">
        <v>415</v>
      </c>
      <c r="S21" s="103"/>
      <c r="T21" s="103" t="s">
        <v>413</v>
      </c>
      <c r="U21" s="103"/>
      <c r="W21" s="100"/>
      <c r="X21" s="100"/>
      <c r="Y21" s="100"/>
      <c r="Z21" s="100"/>
      <c r="AA21" s="100"/>
      <c r="AB21" s="100"/>
      <c r="AC21" s="100"/>
      <c r="AD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</row>
    <row r="22" spans="2:42" ht="30" customHeight="1" x14ac:dyDescent="0.2">
      <c r="B22" s="46"/>
      <c r="C22" s="96" t="s">
        <v>400</v>
      </c>
      <c r="D22" s="97" t="str">
        <f>+VLOOKUP($E22,'Pricing Conditions M1 SCBA'!$G:$J,2,FALSE)</f>
        <v>JC</v>
      </c>
      <c r="E22" s="196">
        <f>+VLOOKUP(F22,'Pricing Conditions M1 SCBA'!$B:$J,6,FALSE)</f>
        <v>81</v>
      </c>
      <c r="F22" s="195" t="s">
        <v>236</v>
      </c>
      <c r="G22" s="46"/>
      <c r="H22" s="107">
        <f>_xlfn.IFS($F$7="WO- Set without 2nd Stg",$O22,$F$7="LO- M1 LGDV only",$N22,$F$7="FI- Set with fixed 2nd Stg",$W22,$F$7="RE- Set with removable 2nd stg",$AF22)</f>
        <v>1065</v>
      </c>
      <c r="I22" s="59"/>
      <c r="J22" s="60"/>
      <c r="K22" s="58"/>
      <c r="L22" s="61"/>
      <c r="N22" s="101" t="str">
        <f>+IF(VLOOKUP($E$7,'Pricing Conditions M1 SCBA'!$G$2:$J$5,1,FALSE)=4,IF(OR(E22=74),VLOOKUP($F22,'Pricing Conditions M1 SCBA'!B:F,5,FALSE),"Not Compatible"),"Not Compatible")</f>
        <v>Not Compatible</v>
      </c>
      <c r="O22" s="101" t="str">
        <f>IF(E7=3,+IF(OR(E17=62),+IF(OR(E22=75,E22=76,E22=77,E22=78,E22=79),+VLOOKUP($F22,'Pricing Conditions M1 SCBA'!$B:$F,5,FALSE),"Not Compatible"),IF(OR(E17=63,E17=64,E17=65),+IF(OR(E22=83,E22=82,E22=81),+VLOOKUP($F22,'Pricing Conditions M1 SCBA'!$B:$F,5,FALSE),"Not Compatible"),"Not Compatible")),+IF(OR(E17=63,E17=64,E17=65),+IF(OR(E22=82),+VLOOKUP($F22,'Pricing Conditions M1 SCBA'!$B:$F,5,FALSE),"Not Compatible"),+IF(OR(E22=83),+VLOOKUP($F22,'Pricing Conditions M1 SCBA'!$B:$F,5,FALSE),"Not Compatible")))</f>
        <v>Not Compatible</v>
      </c>
      <c r="P22" s="125"/>
      <c r="Q22" s="125"/>
      <c r="R22" s="125" t="str">
        <f>+IF(OR(E17=59),+IF(OR(E22=72,E22=73,E22=74,E22=75,E22=76),+VLOOKUP($F22,'Pricing Conditions M1 SCBA'!$B:$F,5,FALSE),"Not Compatible"),"Not Compatible")</f>
        <v>Not Compatible</v>
      </c>
      <c r="S22" s="103"/>
      <c r="T22" s="103" t="str">
        <f>+IF(OR(E17=60,E17=61,E17=62),+IF(OR(E22=79),+VLOOKUP($F22,'Pricing Conditions M1 SCBA'!$B:$F,5,FALSE),"Not Compatible"),"Not Compatible")</f>
        <v>Not Compatible</v>
      </c>
      <c r="U22" s="103"/>
      <c r="W22" s="101" t="str">
        <f>+IF(VLOOKUP($E$7,'Pricing Conditions M1 SCBA'!$G$2:$J$5,1,FALSE)=2,IF(OR(AND(E17=62, E22=80),AND(OR(E17=63,E17=64), E22=82)),VLOOKUP($F22,'Pricing Conditions M1 SCBA'!B:F,5,FALSE),"Not Compatible"),"Not Compatible")</f>
        <v>Not Compatible</v>
      </c>
      <c r="X22" s="100" t="b">
        <f>+VLOOKUP($E$7,'Pricing Conditions M1 SCBA'!$G$2:$J$5,1,FALSE)=2</f>
        <v>0</v>
      </c>
      <c r="Y22" s="100" t="str">
        <f>+IF(OR(AND(E17=59, E22=77),AND(OR(E17=60,E17=61), E22=79)),VLOOKUP($F22,'Pricing Conditions M1 SCBA'!B:F,5,FALSE),"Not Compatible")</f>
        <v>Not Compatible</v>
      </c>
      <c r="Z22" s="100" t="b">
        <f>AND(E17=59, E22=77)</f>
        <v>0</v>
      </c>
      <c r="AA22" s="100" t="b">
        <f>+OR(AND(E17=59, E22=77),AND(OR(E17=60,E17=61), E22=79))</f>
        <v>0</v>
      </c>
      <c r="AB22" s="100" t="b">
        <f>AND(OR(E17=60,E17=61), E22=79)</f>
        <v>0</v>
      </c>
      <c r="AC22" s="100"/>
      <c r="AD22" s="100"/>
      <c r="AF22" s="101">
        <f>+IF(VLOOKUP($E$7,'Pricing Conditions M1 SCBA'!$G$2:$J$5,1,FALSE)=1,IF(AND(E17=62,OR(E13=46,E13=47,E13=50),OR(E22=75,E22=76,E22=77,E22=78,E22=79)),VLOOKUP($F22,'Pricing Conditions M1 SCBA'!B:F,5,FALSE),IF(AND(E17=62,OR(E13=48,E13=49),OR(E22=75,E22=76,E22=77,E22=78,E22=79)),VLOOKUP($F22,'Pricing Conditions M1 SCBA'!B:F,5,FALSE),IF(AND(OR(E17=63,E17=64,E17=65),OR(E22=81,E22=82,E22=83)),VLOOKUP($F22,'Pricing Conditions M1 SCBA'!B:F,5,FALSE),"Not Compatible"))),"Not Compatible")</f>
        <v>1065</v>
      </c>
      <c r="AG22" s="100" t="b">
        <f>+VLOOKUP($E$7,'Pricing Conditions M1 SCBA'!$G$2:$J$5,1,FALSE)=1</f>
        <v>1</v>
      </c>
      <c r="AH22" s="100" t="str">
        <f>+IF(AND(E17=59,OR(E13=43,E13=44),OR(E22=72,E22=73,E22=74,E22=75,E22=76)),VLOOKUP($F22,'Pricing Conditions M1 SCBA'!B:F,5,FALSE),"Not Compatible")</f>
        <v>Not Compatible</v>
      </c>
      <c r="AI22" s="100" t="b">
        <f>+AND(E17=59,OR(E13=43,E13=44),OR(E22=72,E22=73,E22=74,E22=75,E22=76))</f>
        <v>0</v>
      </c>
      <c r="AJ22" s="100" t="b">
        <f>+AND(E17=59,OR(E13=45,E13=46),OR(E22=72,E22=73,E22=74,E22=75,E22=76))</f>
        <v>0</v>
      </c>
      <c r="AK22" s="100" t="str">
        <f>+IF(AND(E17=59,OR(E13=45,E13=46),OR(E22=72,E22=73,E22=74,E22=75,E22=76)),VLOOKUP($F22,'Pricing Conditions M1 SCBA'!B:F,5,FALSE),"Not Compatible")</f>
        <v>Not Compatible</v>
      </c>
      <c r="AL22" s="100" t="str">
        <f>+IF(AND(E17=59,OR(E13=43,E13=44),OR(E22=72,E22=73,E22=74,E22=75,E22=76)),VLOOKUP($F22,'Pricing Conditions M1 SCBA'!B:F,5,FALSE),IF(AND(E17=59,OR(E13=45,E13=46),OR(E22=72,E22=73,E22=74,E22=75,E22=76)),VLOOKUP($F22,'Pricing Conditions M1 SCBA'!B:F,5,FALSE),"Not Compatible"))</f>
        <v>Not Compatible</v>
      </c>
      <c r="AM22" s="100" t="b">
        <f>+AND(OR(E17=60,E17=61,E17=62),OR(E22=79))</f>
        <v>0</v>
      </c>
      <c r="AN22" s="100" t="str">
        <f>+IF(AND(OR(E17=60,E17=61,E17=62),OR(E22=79)),VLOOKUP($F20,'Pricing Conditions M1 SCBA'!B:F,5,FALSE),"Not Compatible")</f>
        <v>Not Compatible</v>
      </c>
      <c r="AO22" s="100" t="str">
        <f>+IF(AND(E17=59,OR(E13=45,E13=46),OR(E22=72,E22=73,E22=74,E22=75,E22=76)),VLOOKUP($F22,'Pricing Conditions M1 SCBA'!B:F,5,FALSE),IF(AND(OR(E17=60,E17=61,E17=62),OR(E22=79)),VLOOKUP($F20,'Pricing Conditions M1 SCBA'!B:F,5,FALSE),"Not Compatible"))</f>
        <v>Not Compatible</v>
      </c>
      <c r="AP22" s="100" t="str">
        <f>+IF(AND(E17=59,OR(E13=43,E13=44),OR(E22=72,E22=73,E22=74,E22=75,E22=76)),VLOOKUP($F22,'Pricing Conditions M1 SCBA'!B:F,5,FALSE),IF(AND(E17=59,OR(E13=45,E13=46),OR(E22=72,E22=73,E22=74,E22=75,E22=76)),VLOOKUP($F22,'Pricing Conditions M1 SCBA'!B:F,5,FALSE),IF(AND(OR(E17=60,E17=61,E17=62),OR(E22=79)),VLOOKUP($F20,'Pricing Conditions M1 SCBA'!B:F,5,FALSE),"Not Compatible")))</f>
        <v>Not Compatible</v>
      </c>
    </row>
    <row r="23" spans="2:42" ht="30" hidden="1" customHeight="1" x14ac:dyDescent="0.2">
      <c r="B23" s="46"/>
      <c r="C23" s="96"/>
      <c r="D23" s="97"/>
      <c r="E23" s="196"/>
      <c r="F23" s="195"/>
      <c r="G23" s="46"/>
      <c r="H23" s="107"/>
      <c r="I23" s="59"/>
      <c r="J23" s="60"/>
      <c r="K23" s="58"/>
      <c r="L23" s="61"/>
      <c r="N23" s="103"/>
      <c r="O23" s="103"/>
      <c r="P23" s="126" t="s">
        <v>454</v>
      </c>
      <c r="Q23" s="126" t="s">
        <v>456</v>
      </c>
      <c r="R23" s="126" t="s">
        <v>457</v>
      </c>
      <c r="S23" s="126" t="s">
        <v>458</v>
      </c>
      <c r="T23" s="126" t="s">
        <v>455</v>
      </c>
      <c r="U23" s="126" t="s">
        <v>459</v>
      </c>
      <c r="W23" s="100"/>
      <c r="X23" s="100"/>
      <c r="Y23" s="100"/>
      <c r="Z23" s="100"/>
      <c r="AA23" s="100"/>
      <c r="AB23" s="100"/>
      <c r="AC23" s="100"/>
      <c r="AD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</row>
    <row r="24" spans="2:42" ht="30" customHeight="1" x14ac:dyDescent="0.2">
      <c r="B24" s="46"/>
      <c r="C24" s="96" t="s">
        <v>401</v>
      </c>
      <c r="D24" s="97" t="str">
        <f>+VLOOKUP($E24,'Pricing Conditions M1 SCBA'!$G:$J,2,FALSE)</f>
        <v>KN</v>
      </c>
      <c r="E24" s="196">
        <f>+VLOOKUP(F24,'Pricing Conditions M1 SCBA'!$B:$J,6,FALSE)</f>
        <v>85</v>
      </c>
      <c r="F24" s="195" t="s">
        <v>243</v>
      </c>
      <c r="G24" s="46"/>
      <c r="H24" s="107" t="str">
        <f>_xlfn.IFS($F$7="WO- Set without 2nd Stg",$O24,$F$7="LO- M1 LGDV only",$N24,$F$7="FI- Set with fixed 2nd Stg",$W24,$F$7="RE- Set with removable 2nd stg",$AF24)</f>
        <v>n/a</v>
      </c>
      <c r="I24" s="59"/>
      <c r="J24" s="60"/>
      <c r="K24" s="58"/>
      <c r="L24" s="61"/>
      <c r="N24" s="101" t="str">
        <f>+IF(VLOOKUP($E$7,'Pricing Conditions M1 SCBA'!$G$2:$J$5,1,FALSE)=4,IF(OR(E24=85),VLOOKUP($F24,'Pricing Conditions M1 SCBA'!B:F,5,FALSE),"Not Compatible"),"Not Compatible")</f>
        <v>Not Compatible</v>
      </c>
      <c r="O24" s="101" t="str">
        <f>+IF(+VLOOKUP($E$7,'Pricing Conditions M1 SCBA'!$G$2:$J$5,1,FALSE)=3,IF(AND((OR(E17=62)),(OR(E24=85,E24=86,E24=87,E24=88))),VLOOKUP($F24,'Pricing Conditions M1 SCBA'!B:F,5,FALSE),+IF(AND((OR(E17=63,E17=64)),(OR(E24=85,E24=86,E24=87,E24=88,E24=89))),VLOOKUP($F24,'Pricing Conditions M1 SCBA'!B:F,5,FALSE),IF(AND((OR(E17=63)),(OR(E24=85,E24=86,E24=87,E24=88))),VLOOKUP($F24,'Pricing Conditions M1 SCBA'!B:F,5,FALSE),"Not Compatible"))),"Not Compatible")</f>
        <v>Not Compatible</v>
      </c>
      <c r="P24" s="126" t="b">
        <f>+VLOOKUP($E$7,'Pricing Conditions M1 SCBA'!$G$2:$J$5,1,FALSE)=3</f>
        <v>0</v>
      </c>
      <c r="Q24" s="126" t="str">
        <f>+IF(AND((OR(E17=59)),(OR(E24=81,E24=82,E24=83,E24=84))),VLOOKUP($F24,'Pricing Conditions M1 SCBA'!B:F,5,FALSE),"Not Compatible")</f>
        <v>Not Compatible</v>
      </c>
      <c r="R24" s="126" t="str">
        <f>+IF(AND((OR(E17=60,E17=61)),(OR(E24=81,E24=82,E24=83,E24=84,E24=85))),VLOOKUP($F24,'Pricing Conditions M1 SCBA'!B:F,5,FALSE),"Not Compatible")</f>
        <v>Not Compatible</v>
      </c>
      <c r="S24" s="126" t="str">
        <f>+IF(AND((OR(E17=59)),(OR(E24=81,E24=82,E24=83,E24=84))),VLOOKUP($F24,'Pricing Conditions M1 SCBA'!B:F,5,FALSE),+IF(AND((OR(E17=60,E17=61)),(OR(E24=81,E24=82,E24=83,E24=84,E24=85))),VLOOKUP($F24,'Pricing Conditions M1 SCBA'!B:F,5,FALSE),"Not Compatible"))</f>
        <v>Not Compatible</v>
      </c>
      <c r="T24" s="126" t="str">
        <f>+IF(AND((OR(E17=62)),(OR(E24=81,E24=82,E24=83,E24=84))),VLOOKUP($F24,'Pricing Conditions M1 SCBA'!B:F,5,FALSE),"Not Compatible")</f>
        <v>Not Compatible</v>
      </c>
      <c r="U24" s="126" t="str">
        <f>+IF(AND((OR(E17=59)),(OR(E24=81,E24=82,E24=83,E24=84))),VLOOKUP($F24,'Pricing Conditions M1 SCBA'!B:F,5,FALSE),+IF(AND((OR(E17=60,E17=61)),(OR(E24=81,E24=82,E24=83,E24=84,E24=85))),VLOOKUP($F24,'Pricing Conditions M1 SCBA'!B:F,5,FALSE),IF(AND((OR(E17=62)),(OR(E24=81,E24=82,E24=83,E24=84))),VLOOKUP($F24,'Pricing Conditions M1 SCBA'!B:F,5,FALSE),"Not Compatible")))</f>
        <v>Not Compatible</v>
      </c>
      <c r="W24" s="101" t="str">
        <f>+IF(VLOOKUP($E$7,'Pricing Conditions M1 SCBA'!$G$2:$J$5,1,FALSE)=2,IF(AND((OR(E22=82,E22=80)),(OR(E17=63,E17=64,E17=62)),E20=69,OR(E24=85,E24=86,E24=87)),VLOOKUP($F24,'Pricing Conditions M1 SCBA'!B:F,5,FALSE),"Not Compatible"),"Not Compatible")</f>
        <v>Not Compatible</v>
      </c>
      <c r="X24" s="100" t="b">
        <f>+VLOOKUP($E$7,'Pricing Conditions M1 SCBA'!$G$2:$J$5,1,FALSE)=2</f>
        <v>0</v>
      </c>
      <c r="Y24" s="100" t="str">
        <f>+IF(AND(E22=79,(OR(E17=60,E17=61,E17=59)),E20=66,OR(E24=81,E24=82,E24=84)),VLOOKUP($F24,'Pricing Conditions M1 SCBA'!B:F,5,FALSE),"Not Compatible")</f>
        <v>Not Compatible</v>
      </c>
      <c r="Z24" s="144" t="b">
        <f>+AND(OR(E22=79,E22=77),(OR(E17=60,E17=61,E17=59)),E20=66,OR(E24=81,E24=82,E24=84))</f>
        <v>0</v>
      </c>
      <c r="AA24" s="100"/>
      <c r="AB24" s="100"/>
      <c r="AC24" s="100"/>
      <c r="AD24" s="100"/>
      <c r="AF24" s="101" t="str">
        <f>+IF(+VLOOKUP($E$7,'Pricing Conditions M1 SCBA'!$G$2:$J$5,1,FALSE)=1,+IF(AND((OR(E17=62)),(OR(E24=85,E24=86,E24=87,E24=88))),VLOOKUP($F24,'Pricing Conditions M1 SCBA'!B:F,5,FALSE),+IF(AND((OR(E17=63,E17=64,E17=65)),(OR(E24=85,E24=86,E24=87,E24=88,E24=89))),VLOOKUP($F24,'Pricing Conditions M1 SCBA'!B:F,5,FALSE),"Not Compatible")),"Not Compatible")</f>
        <v>n/a</v>
      </c>
      <c r="AG24" s="100" t="b">
        <f>+VLOOKUP($E$7,'Pricing Conditions M1 SCBA'!$G$2:$J$5,1,FALSE)=1</f>
        <v>1</v>
      </c>
      <c r="AH24" s="100" t="str">
        <f>+IF(AND((OR(E17=59)),(OR(E24=81,E24=82,E24=83,E24=84))),VLOOKUP($F9,'Pricing Conditions M1 SCBA'!B:F,5,FALSE),"Not Compatible")</f>
        <v>Not Compatible</v>
      </c>
      <c r="AI24" s="100" t="str">
        <f>+IF(AND((OR(E17=60,E17=61,E17=62)),(OR(E24=81,E24=82,E24=83,E24=84,E24=85))),VLOOKUP($F24,'Pricing Conditions M1 SCBA'!B:F,5,FALSE),"Not Compatible")</f>
        <v>Not Compatible</v>
      </c>
      <c r="AJ24" s="100" t="str">
        <f>+IF(AND((OR(E17=59)),(OR(E24=81,E24=82,E24=83,E24=84))),VLOOKUP($F24,'Pricing Conditions M1 SCBA'!B:F,5,FALSE),+IF(AND((OR(E17=60,E17=61,E17=62)),(OR(E24=81,E24=82,E24=83,E24=84,E24=85))),VLOOKUP($F24,'Pricing Conditions M1 SCBA'!B:F,5,FALSE),"Not Compatible"))</f>
        <v>Not Compatible</v>
      </c>
      <c r="AK24" s="100"/>
      <c r="AL24" s="100"/>
      <c r="AM24" s="100"/>
      <c r="AN24" s="100"/>
      <c r="AO24" s="100"/>
      <c r="AP24" s="100"/>
    </row>
    <row r="25" spans="2:42" ht="30" hidden="1" customHeight="1" x14ac:dyDescent="0.2">
      <c r="B25" s="46"/>
      <c r="C25" s="96"/>
      <c r="D25" s="97"/>
      <c r="E25" s="196"/>
      <c r="F25" s="195"/>
      <c r="G25" s="46"/>
      <c r="H25" s="107"/>
      <c r="I25" s="59"/>
      <c r="J25" s="60"/>
      <c r="K25" s="58"/>
      <c r="L25" s="61"/>
      <c r="N25" s="103"/>
      <c r="O25" s="103"/>
      <c r="P25" s="126"/>
      <c r="Q25" s="126"/>
      <c r="R25" s="126" t="s">
        <v>411</v>
      </c>
      <c r="S25" s="126" t="s">
        <v>410</v>
      </c>
      <c r="T25" s="126"/>
      <c r="U25" s="126"/>
      <c r="W25" s="100"/>
      <c r="X25" s="100"/>
      <c r="Y25" s="100"/>
      <c r="Z25" s="100"/>
      <c r="AA25" s="100"/>
      <c r="AB25" s="100"/>
      <c r="AC25" s="100"/>
      <c r="AD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</row>
    <row r="26" spans="2:42" ht="30" customHeight="1" x14ac:dyDescent="0.2">
      <c r="B26" s="46"/>
      <c r="C26" s="96" t="s">
        <v>402</v>
      </c>
      <c r="D26" s="97" t="str">
        <f>+VLOOKUP($E26,'Pricing Conditions M1 SCBA'!$G:$J,2,FALSE)</f>
        <v>L2</v>
      </c>
      <c r="E26" s="196">
        <f>+VLOOKUP(F26,'Pricing Conditions M1 SCBA'!$B:$J,6,FALSE)</f>
        <v>93</v>
      </c>
      <c r="F26" s="195" t="s">
        <v>266</v>
      </c>
      <c r="G26" s="46"/>
      <c r="H26" s="107">
        <f>_xlfn.IFS($F$7="WO- Set without 2nd Stg",$O26,$F$7="LO- M1 LGDV only",$N26,$F$7="FI- Set with fixed 2nd Stg",$W26,$F$7="RE- Set with removable 2nd stg",$AF26)</f>
        <v>443</v>
      </c>
      <c r="I26" s="59"/>
      <c r="J26" s="60"/>
      <c r="K26" s="58"/>
      <c r="L26" s="61"/>
      <c r="N26" s="101" t="str">
        <f>+IF(VLOOKUP($E$7,'Pricing Conditions M1 SCBA'!$G$2:$J$5,1,FALSE)=4,IF(OR(E26=92,E26=93,E26=94,E26=95,E26=96,E26=97,E26=98,E26=99,E26=100,E26=101),VLOOKUP($F26,'Pricing Conditions M1 SCBA'!B:F,5,FALSE),"Not Compatible"),"Not Compatible")</f>
        <v>Not Compatible</v>
      </c>
      <c r="O26" s="101" t="str">
        <f>IF(VLOOKUP($E$7,'Pricing Conditions M1 SCBA'!$G$2:$J$5,1,FALSE)=3,IF(AND(OR(E26=91)),VLOOKUP($F26,'Pricing Conditions M1 SCBA'!B:F,5,FALSE),"Not Compatible"),"Not Compatible")</f>
        <v>Not Compatible</v>
      </c>
      <c r="P26" s="126" t="b">
        <f>+VLOOKUP($E$7,'Pricing Conditions M1 SCBA'!$G$2:$J$5,1,FALSE)=3</f>
        <v>0</v>
      </c>
      <c r="Q26" s="126" t="str">
        <f>+IF(AND(OR(E26=87)),VLOOKUP($F26,'Pricing Conditions M1 SCBA'!B:F,5,FALSE),"Not Compatible")</f>
        <v>Not Compatible</v>
      </c>
      <c r="R26" s="126" t="str">
        <f>IF(OR(E17=60,E17=61,E17=62),VLOOKUP($F26,'Pricing Conditions M1 SCBA'!$B:$F,5,FALSE),"Not Compatible")</f>
        <v>Not Compatible</v>
      </c>
      <c r="S26" s="126" t="str">
        <f>IF(OR(E26=87),+VLOOKUP($F26,'Pricing Conditions M1 SCBA'!$B:$F,5,FALSE),"Not Compatible")</f>
        <v>Not Compatible</v>
      </c>
      <c r="T26" s="126"/>
      <c r="U26" s="126"/>
      <c r="W26" s="101" t="str">
        <f>+IF(VLOOKUP($E$7,'Pricing Conditions M1 SCBA'!$G$2:$J$5,1,FALSE)=2,IF(OR(E26=94,E26=97),VLOOKUP($F26,'Pricing Conditions M1 SCBA'!B:F,5,FALSE),"Not Compatible"),"Not Compatible")</f>
        <v>Not Compatible</v>
      </c>
      <c r="X26" s="100" t="b">
        <f>+VLOOKUP($E$7,'Pricing Conditions M1 SCBA'!$G$2:$J$5,1,FALSE)=2</f>
        <v>0</v>
      </c>
      <c r="Y26" s="100">
        <f>+IF(OR(E26=90,E26=93),VLOOKUP($F26,'Pricing Conditions M1 SCBA'!B:F,5,FALSE),"Not Compatible")</f>
        <v>443</v>
      </c>
      <c r="Z26" s="100"/>
      <c r="AA26" s="100"/>
      <c r="AB26" s="100"/>
      <c r="AC26" s="100"/>
      <c r="AD26" s="100"/>
      <c r="AF26" s="101">
        <f>+IF(VLOOKUP($E$7,'Pricing Conditions M1 SCBA'!$G$2:$J$5,1,FALSE)=1,IF(AND((OR(E17=63,E17=64,E17=65)),(OR(E26=93,E26=92,E26=96,E26=95,E26=98,E26=99,E26=100,E26=101))),VLOOKUP($F26,'Pricing Conditions M1 SCBA'!B:F,5,FALSE),+IF(AND((OR(E17=62)),(OR(E26=92,E26=93,E26=95,E26=96,E26=98,E26=99,E26=100,E26=101))),VLOOKUP($F26,'Pricing Conditions M1 SCBA'!B:F,5,FALSE),"Not Compatible")))</f>
        <v>443</v>
      </c>
      <c r="AG26" s="100" t="b">
        <f>+VLOOKUP($E$7,'Pricing Conditions M1 SCBA'!$G$2:$J$5,1,FALSE)=1</f>
        <v>1</v>
      </c>
      <c r="AH26" s="100" t="b">
        <f>+OR(E26=88,E26=91,E26=94, E26=96 )</f>
        <v>0</v>
      </c>
      <c r="AI26" s="100" t="b">
        <f>+OR(E26=89,E26=92,E26=95,E26=97)</f>
        <v>0</v>
      </c>
      <c r="AJ26" s="100" t="str">
        <f>+IF(OR(E26=89,E26=92,E26=95,E24=97),VLOOKUP($F26,'Pricing Conditions M1 SCBA'!B:F,5,FALSE),"Not Compatible")</f>
        <v>Not Compatible</v>
      </c>
      <c r="AK26" s="100" t="str">
        <f>+IF(OR(E26=88,E26=91,E26=94,E24=96),VLOOKUP($F26,'Pricing Conditions M1 SCBA'!B:F,5,FALSE),"Not Compatible")</f>
        <v>Not Compatible</v>
      </c>
      <c r="AL26" s="100" t="str">
        <f>+IF(OR(E26=89,E26=92,E26=95,E26=97),VLOOKUP($F26,'Pricing Conditions M1 SCBA'!B:F,5,FALSE),"Not Compatible")</f>
        <v>Not Compatible</v>
      </c>
      <c r="AM26" s="100"/>
      <c r="AN26" s="100" t="str">
        <f>+IF(AND((OR(E17=59)),(OR(E26=88,E26=91,E26=94,E26=96))),VLOOKUP($F26,'Pricing Conditions M1 SCBA'!B:F,5,FALSE),"Not Compatible")</f>
        <v>Not Compatible</v>
      </c>
      <c r="AO26" s="100" t="str">
        <f>+IF(AND((OR(E17=60,E17=61,E17=62)),(OR(E26=89,E26=92,E26=95,E26=97))),VLOOKUP($F26,'Pricing Conditions M1 SCBA'!B:F,5,FALSE),"Not Compatible")</f>
        <v>Not Compatible</v>
      </c>
      <c r="AP26" s="100" t="str">
        <f>+IF(AND((OR(E17=60,E17=61,E17=62)),(OR(E26=89,E26=92,E26=95,E26=97))),VLOOKUP($F26,'Pricing Conditions M1 SCBA'!B:F,5,FALSE),+IF(AND((OR(E17=59)),(OR(E26=88,E26=91,E26=94,E26=96))),VLOOKUP($F26,'Pricing Conditions M1 SCBA'!B:F,5,FALSE),"Not Compatible"))</f>
        <v>Not Compatible</v>
      </c>
    </row>
    <row r="27" spans="2:42" ht="30" hidden="1" customHeight="1" x14ac:dyDescent="0.2">
      <c r="B27" s="46"/>
      <c r="C27" s="96"/>
      <c r="D27" s="97"/>
      <c r="E27" s="196"/>
      <c r="F27" s="195"/>
      <c r="G27" s="46"/>
      <c r="H27" s="107"/>
      <c r="I27" s="59"/>
      <c r="J27" s="60"/>
      <c r="K27" s="58"/>
      <c r="L27" s="61"/>
      <c r="N27" s="103"/>
      <c r="O27" s="100"/>
      <c r="P27" s="103"/>
      <c r="Q27" s="126"/>
      <c r="R27" s="126"/>
      <c r="S27" s="126"/>
      <c r="T27" s="126"/>
      <c r="U27" s="126"/>
      <c r="W27" s="57"/>
      <c r="X27" s="57"/>
      <c r="Y27" s="100" t="s">
        <v>410</v>
      </c>
      <c r="Z27" s="100"/>
      <c r="AA27" s="100" t="s">
        <v>424</v>
      </c>
      <c r="AB27" s="100" t="s">
        <v>418</v>
      </c>
      <c r="AC27" s="57"/>
      <c r="AD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</row>
    <row r="28" spans="2:42" ht="30" customHeight="1" x14ac:dyDescent="0.2">
      <c r="B28" s="46"/>
      <c r="C28" s="96" t="s">
        <v>403</v>
      </c>
      <c r="D28" s="97" t="str">
        <f>+VLOOKUP($E28,'Pricing Conditions M1 SCBA'!$G:$J,2,FALSE)</f>
        <v>MN</v>
      </c>
      <c r="E28" s="196">
        <f>+VLOOKUP(F28,'Pricing Conditions M1 SCBA'!$B:$J,6,FALSE)</f>
        <v>103</v>
      </c>
      <c r="F28" s="195" t="s">
        <v>296</v>
      </c>
      <c r="G28" s="46"/>
      <c r="H28" s="107" t="str">
        <f>_xlfn.IFS($F$7="WO- Set without 2nd Stg",$O28,$F$7="LO- M1 LGDV only",$N28,$F$7="FI- Set with fixed 2nd Stg",$W28,$F$7="RE- Set with removable 2nd stg",$AF28)</f>
        <v>n/a</v>
      </c>
      <c r="I28" s="59"/>
      <c r="J28" s="60"/>
      <c r="K28" s="58"/>
      <c r="L28" s="61"/>
      <c r="N28" s="101" t="str">
        <f>+IF(VLOOKUP($E$7,'Pricing Conditions M1 SCBA'!$G$2:$J$5,1,FALSE)=4,IF(OR(E28=103),VLOOKUP($F28,'Pricing Conditions M1 SCBA'!B:F,5,FALSE),"Not Compatible"),"Not Compatible")</f>
        <v>Not Compatible</v>
      </c>
      <c r="O28" s="101" t="str">
        <f>IF(OR(E28=103,E28=104,E28=105,E28=106,E28=107),+VLOOKUP($F28,'Pricing Conditions M1 SCBA'!$B:$F,5,FALSE),"Not Compatible")</f>
        <v>n/a</v>
      </c>
      <c r="P28" s="103"/>
      <c r="Q28" s="103"/>
      <c r="R28" s="103"/>
      <c r="S28" s="103"/>
      <c r="T28" s="103"/>
      <c r="U28" s="103"/>
      <c r="W28" s="101" t="str">
        <f>+IF(VLOOKUP($E$7,'Pricing Conditions M1 SCBA'!$G$2:$J$5,1,FALSE)=2,IF(AND(OR(E26=94),OR(E28=103,E28=104)),VLOOKUP($F28,'Pricing Conditions M1 SCBA'!B:F,5,FALSE),IF(AND(OR(E26=97),OR(E28=103,E28=106)),VLOOKUP($F28,'Pricing Conditions M1 SCBA'!B:F,5,FALSE),"Not Compatible")),"Not Compatible")</f>
        <v>Not Compatible</v>
      </c>
      <c r="X28" s="100" t="b">
        <f>+VLOOKUP($E$7,'Pricing Conditions M1 SCBA'!$G$2:$J$5,1,FALSE)=2</f>
        <v>0</v>
      </c>
      <c r="Y28" s="100" t="str">
        <f>+IF(AND(OR(E26=90),OR(E28=99,E28=100)),VLOOKUP($F28,'Pricing Conditions M1 SCBA'!B:F,5,FALSE),"Not Compatible")</f>
        <v>Not Compatible</v>
      </c>
      <c r="Z28" s="100" t="b">
        <f>+AND(OR(E26=93),OR(E28=99,E28=100))</f>
        <v>0</v>
      </c>
      <c r="AA28" s="100" t="str">
        <f>+IF(AND(OR(E26=90),OR(E28=99,E28=100)),VLOOKUP($F28,'Pricing Conditions M1 SCBA'!B:F,5,FALSE),IF(AND(OR(E26=93),OR(E28=99,E28=102)),VLOOKUP($F29,'Pricing Conditions M1 SCBA'!B:F,5,FALSE),"Not Compatible"))</f>
        <v>Not Compatible</v>
      </c>
      <c r="AB28" s="100" t="str">
        <f>+IF(AND(OR(E26=93),OR(E28=99,E28=102)),VLOOKUP($F28,'Pricing Conditions M1 SCBA'!B:F,5,FALSE),"Not Compatible")</f>
        <v>Not Compatible</v>
      </c>
      <c r="AC28" s="100" t="b">
        <f>+AND(OR(E26=93),OR(E28=99,E28=102))</f>
        <v>0</v>
      </c>
      <c r="AD28" s="100"/>
      <c r="AF28" s="101" t="str">
        <f>+IF(VLOOKUP($E$7,'Pricing Conditions M1 SCBA'!$G$2:$J$5,1,FALSE)=1,IF(AND(OR(E26=92,E26=93,E26=100,E26=101),OR(E28=103,E28=104)),VLOOKUP($F28,'Pricing Conditions M1 SCBA'!B:F,5,FALSE),IF(AND(OR(E26=95,E26=96),OR(E28=103,E28=106)),VLOOKUP($F28,'Pricing Conditions M1 SCBA'!B:F,5,FALSE),IF(AND(OR(E26=98,E26=99),OR(E28=103,E28=106)),VLOOKUP($F28,'Pricing Conditions M1 SCBA'!B:F,5,FALSE),"Not Compatible"))),"Not Compatible")</f>
        <v>n/a</v>
      </c>
      <c r="AG28" s="100" t="b">
        <f>+VLOOKUP($E$7,'Pricing Conditions M1 SCBA'!$G$2:$J$5,1,FALSE)=1</f>
        <v>1</v>
      </c>
      <c r="AH28" s="100" t="b">
        <f>AND(OR(E26=88,E26=89,E26=96,E26=97),OR(E28=99,E28=100))</f>
        <v>0</v>
      </c>
      <c r="AI28" s="100" t="str">
        <f>+IF(AND(OR(E26=88,E26=89,E26=96,E26=97),OR(E28=99,E28=100)),VLOOKUP($F28,'Pricing Conditions M1 SCBA'!B:F,5,FALSE),"Not Compatible")</f>
        <v>Not Compatible</v>
      </c>
      <c r="AJ28" s="100" t="b">
        <f>AND(OR(E26=91,E26=92),OR(E28=99,E28=102))</f>
        <v>0</v>
      </c>
      <c r="AK28" s="100" t="str">
        <f>+IF(AND(OR(E26=91,E26=92),OR(E28=99,E28=102)),VLOOKUP($F28,'Pricing Conditions M1 SCBA'!B:F,5,FALSE),"Not Compatible")</f>
        <v>Not Compatible</v>
      </c>
      <c r="AL28" s="100" t="str">
        <f>+IF(AND(OR(E26=88,E26=89,E26=96,E26=97),OR(E28=99,E28=100)),VLOOKUP($F28,'Pricing Conditions M1 SCBA'!B:F,5,FALSE),IF(AND(OR(E26=91,E26=92),OR(E28=99,E28=102)),VLOOKUP($F28,'Pricing Conditions M1 SCBA'!B:F,5,FALSE),"Not Compatible"))</f>
        <v>Not Compatible</v>
      </c>
      <c r="AM28" s="100" t="b">
        <f>AND(OR(E26=94,E26=95),OR(E28=99,E28=101))</f>
        <v>0</v>
      </c>
      <c r="AN28" s="100" t="str">
        <f>+IF(AND(OR(E26=94,E26=95),OR(E28=99,E28=101)),VLOOKUP($F28,'Pricing Conditions M1 SCBA'!B:F,5,FALSE),"Not Compatible")</f>
        <v>Not Compatible</v>
      </c>
      <c r="AO28" s="100" t="str">
        <f>+IF(AND(OR(E26=91,E26=92),OR(E28=99,E28=102)),VLOOKUP($F28,'Pricing Conditions M1 SCBA'!B:F,5,FALSE),IF(AND(OR(E26=94,E26=95),OR(E28=99,E28=101)),VLOOKUP($F28,'Pricing Conditions M1 SCBA'!B:F,5,FALSE),"Not Compatible"))</f>
        <v>Not Compatible</v>
      </c>
      <c r="AP28" s="100" t="str">
        <f>+IF(AND(OR(E26=88,E26=89,E26=96,E26=97),OR(E28=99,E28=100)),VLOOKUP($F28,'Pricing Conditions M1 SCBA'!B:F,5,FALSE),IF(AND(OR(E26=91,E26=92),OR(E28=99,E28=102)),VLOOKUP($F28,'Pricing Conditions M1 SCBA'!B:F,5,FALSE),IF(AND(OR(E26=94,E26=95),OR(E28=99,E28=101)),VLOOKUP($F28,'Pricing Conditions M1 SCBA'!B:F,5,FALSE),"Not Compatible")))</f>
        <v>Not Compatible</v>
      </c>
    </row>
    <row r="29" spans="2:42" ht="30" customHeight="1" x14ac:dyDescent="0.2">
      <c r="B29" s="46"/>
      <c r="C29" s="96" t="s">
        <v>539</v>
      </c>
      <c r="D29" s="97" t="str">
        <f>+VLOOKUP($E29,'Pricing Conditions M1 SCBA'!$G:$J,2,FALSE)</f>
        <v>NN</v>
      </c>
      <c r="E29" s="196">
        <f>+VLOOKUP(F29,'Pricing Conditions M1 SCBA'!$B:$J,6,FALSE)</f>
        <v>108</v>
      </c>
      <c r="F29" s="195" t="s">
        <v>306</v>
      </c>
      <c r="G29" s="46"/>
      <c r="H29" s="107" t="str">
        <f>_xlfn.IFS($F$7="WO- Set without 2nd Stg",$O29,$F$7="LO- M1 LGDV only",$N29,$F$7="FI- Set with fixed 2nd Stg",$W29,$F$7="RE- Set with removable 2nd stg",$AF29)</f>
        <v>n/a</v>
      </c>
      <c r="I29" s="59"/>
      <c r="J29" s="60"/>
      <c r="K29" s="58"/>
      <c r="L29" s="61"/>
      <c r="N29" s="101" t="str">
        <f>+IF(OR(E29=108),VLOOKUP($F29,'Pricing Conditions M1 SCBA'!B:F,5,FALSE),"Not Compatible")</f>
        <v>n/a</v>
      </c>
      <c r="O29" s="101" t="str">
        <f>+IF(OR(E29=109),VLOOKUP($F29,'Pricing Conditions M1 SCBA'!B:F,5,FALSE),"n/a")</f>
        <v>n/a</v>
      </c>
      <c r="P29" s="100"/>
      <c r="Q29" s="100"/>
      <c r="R29" s="100"/>
      <c r="S29" s="100"/>
      <c r="T29" s="100"/>
      <c r="U29" s="100"/>
      <c r="W29" s="101" t="str">
        <f>+IF(OR(E29=108),VLOOKUP($F29,'Pricing Conditions M1 SCBA'!B:F,5,FALSE),"Not Compatible")</f>
        <v>n/a</v>
      </c>
      <c r="X29" s="100"/>
      <c r="Y29" s="100"/>
      <c r="Z29" s="100"/>
      <c r="AA29" s="100"/>
      <c r="AB29" s="100"/>
      <c r="AC29" s="100"/>
      <c r="AD29" s="100"/>
      <c r="AF29" s="101" t="str">
        <f>+IF(OR(E29=108),VLOOKUP($F29,'Pricing Conditions M1 SCBA'!B:F,5,FALSE),"Not Compatible")</f>
        <v>n/a</v>
      </c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</row>
    <row r="30" spans="2:42" ht="30" customHeight="1" x14ac:dyDescent="0.2">
      <c r="B30" s="46"/>
      <c r="C30" s="96" t="s">
        <v>404</v>
      </c>
      <c r="D30" s="97" t="str">
        <f>+VLOOKUP($E30,'Pricing Conditions M1 SCBA'!$G:$J,2,FALSE)</f>
        <v>DE</v>
      </c>
      <c r="E30" s="196">
        <f>+VLOOKUP(F30,'Pricing Conditions M1 SCBA'!$B:$J,6,FALSE)</f>
        <v>115</v>
      </c>
      <c r="F30" s="195" t="s">
        <v>322</v>
      </c>
      <c r="G30" s="46"/>
      <c r="H30" s="107" t="str">
        <f>_xlfn.IFS($F$7="WO- Set without 2nd Stg",$O30,$F$7="LO- M1 LGDV only",$N30,$F$7="FI- Set with fixed 2nd Stg",$W30,$F$7="RE- Set with removable 2nd stg",$AF30)</f>
        <v>n/a</v>
      </c>
      <c r="I30" s="59"/>
      <c r="J30" s="60"/>
      <c r="K30" s="58"/>
      <c r="L30" s="61"/>
      <c r="N30" s="101" t="str">
        <f>IF(OR(E30=115,E30=117,E30=118,E30=119,E30=120,E30=122,E30=124,E30=125,E30=126,E30=127),(VLOOKUP($F$30,'Pricing Conditions M1 SCBA'!B:F,5,FALSE)),"Not Compatible")</f>
        <v>n/a</v>
      </c>
      <c r="O30" s="101" t="str">
        <f>IF(OR(E30=115,E30=117,E30=118,E30=119,E30=120,E30=122,E30=124,E30=125,E30=126,E30=127),(VLOOKUP($F$30,'Pricing Conditions M1 SCBA'!B:F,5,FALSE)),"Not Compatible")</f>
        <v>n/a</v>
      </c>
      <c r="P30" s="100"/>
      <c r="Q30" s="100"/>
      <c r="R30" s="100"/>
      <c r="S30" s="100"/>
      <c r="T30" s="100"/>
      <c r="U30" s="100"/>
      <c r="W30" s="101" t="str">
        <f>IF(OR(E30=115,E30=117,E30=118,E30=119,E30=120,E30=122,E30=124,E30=125,E30=126,E30=127),(VLOOKUP($F$30,'Pricing Conditions M1 SCBA'!B:F,5,FALSE)),"Not Compatible")</f>
        <v>n/a</v>
      </c>
      <c r="X30" s="100"/>
      <c r="Y30" s="100"/>
      <c r="Z30" s="100"/>
      <c r="AA30" s="100"/>
      <c r="AB30" s="100"/>
      <c r="AC30" s="100"/>
      <c r="AD30" s="100"/>
      <c r="AF30" s="101" t="str">
        <f>IF(OR(E30=115,E30=117,E30=118,E30=119,E30=120,E30=122,E30=124,E30=125,E30=126,E30=127),(VLOOKUP($F$30,'Pricing Conditions M1 SCBA'!B:F,5,FALSE)),"Not Compatible")</f>
        <v>n/a</v>
      </c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</row>
    <row r="31" spans="2:42" ht="30" customHeight="1" x14ac:dyDescent="0.2">
      <c r="B31" s="46"/>
      <c r="C31" s="96" t="s">
        <v>405</v>
      </c>
      <c r="D31" s="97" t="str">
        <f>+VLOOKUP($E31,'Pricing Conditions M1 SCBA'!$G:$J,2,FALSE)</f>
        <v>PN</v>
      </c>
      <c r="E31" s="196">
        <f>+VLOOKUP(F31,'Pricing Conditions M1 SCBA'!$B:$J,6,FALSE)</f>
        <v>136</v>
      </c>
      <c r="F31" s="195" t="s">
        <v>346</v>
      </c>
      <c r="G31" s="46"/>
      <c r="H31" s="107" t="str">
        <f>_xlfn.IFS($F$7="WO- Set without 2nd Stg",$O31,$F$7="LO- M1 LGDV only",$N31,$F$7="FI- Set with fixed 2nd Stg",$W31,$F$7="RE- Set with removable 2nd stg",$AF31)</f>
        <v>n/a</v>
      </c>
      <c r="I31" s="59"/>
      <c r="J31" s="60"/>
      <c r="K31" s="58"/>
      <c r="L31" s="61"/>
      <c r="N31" s="101" t="str">
        <f>+IF(OR(E31=136),VLOOKUP($F31,'Pricing Conditions M1 SCBA'!B:F,5,FALSE),"Not Compatible")</f>
        <v>n/a</v>
      </c>
      <c r="O31" s="101" t="str">
        <f>+IF(OR(E31=136),VLOOKUP($F31,'Pricing Conditions M1 SCBA'!B:F,5,FALSE),"Not Compatible")</f>
        <v>n/a</v>
      </c>
      <c r="P31" s="100"/>
      <c r="Q31" s="100"/>
      <c r="R31" s="100"/>
      <c r="S31" s="100"/>
      <c r="T31" s="100"/>
      <c r="U31" s="100"/>
      <c r="W31" s="101" t="str">
        <f>+IF(OR(E31=136),VLOOKUP($F31,'Pricing Conditions M1 SCBA'!B:F,5,FALSE),"Not Compatible")</f>
        <v>n/a</v>
      </c>
      <c r="X31" s="100"/>
      <c r="Y31" s="100"/>
      <c r="Z31" s="100"/>
      <c r="AA31" s="100"/>
      <c r="AB31" s="100"/>
      <c r="AC31" s="100"/>
      <c r="AD31" s="100"/>
      <c r="AF31" s="101" t="str">
        <f>_xlfn.IFS($F$7="WO- Set without 2nd Stg",$O31,$F$7="LO- M1 LGDV only",$N31,$F$7="FI- Set with fixed 2nd Stg",$W31,$F$7="RE- Set with removable 2nd stg",$AF30)</f>
        <v>n/a</v>
      </c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</row>
    <row r="32" spans="2:42" ht="21" customHeight="1" x14ac:dyDescent="0.2">
      <c r="B32" s="46"/>
      <c r="C32" s="46"/>
      <c r="D32" s="46"/>
      <c r="E32" s="134"/>
      <c r="F32" s="46"/>
      <c r="G32" s="46"/>
      <c r="H32" s="65"/>
      <c r="I32" s="64"/>
      <c r="K32" s="63"/>
      <c r="L32" s="63"/>
      <c r="M32" s="63"/>
    </row>
    <row r="33" spans="2:13" s="70" customFormat="1" ht="33" customHeight="1" x14ac:dyDescent="0.35">
      <c r="B33" s="66"/>
      <c r="C33" s="67" t="s">
        <v>387</v>
      </c>
      <c r="D33" s="67"/>
      <c r="E33" s="167"/>
      <c r="F33" s="111" t="s">
        <v>432</v>
      </c>
      <c r="G33" s="66"/>
      <c r="H33" s="68"/>
      <c r="I33" s="69"/>
      <c r="K33" s="71"/>
      <c r="L33" s="71"/>
      <c r="M33" s="71"/>
    </row>
    <row r="34" spans="2:13" s="70" customFormat="1" ht="6" customHeight="1" x14ac:dyDescent="0.35">
      <c r="B34" s="66"/>
      <c r="C34" s="66"/>
      <c r="D34" s="66"/>
      <c r="E34" s="167"/>
      <c r="F34" s="66"/>
      <c r="G34" s="66"/>
      <c r="H34" s="72"/>
      <c r="I34" s="69"/>
      <c r="K34" s="71"/>
      <c r="L34" s="71"/>
      <c r="M34" s="71"/>
    </row>
    <row r="35" spans="2:13" s="70" customFormat="1" ht="30" customHeight="1" x14ac:dyDescent="0.35">
      <c r="B35" s="66"/>
      <c r="C35" s="67" t="s">
        <v>388</v>
      </c>
      <c r="D35" s="67"/>
      <c r="E35" s="167"/>
      <c r="F35" s="110" t="str">
        <f>+CONCATENATE("M1","-",D7,"-",D8,"-",D9,"-",D10,"-",D11,"-",D13,"-",D15,"-",D17,"-",D20,"-",D22,"-",D24,"-",D26,"-",D28,"-",D29,"-",D30,"-",D31)</f>
        <v>M1-RE-C4-BNA-EV-TP-BM-GN-C1-IN-JC-KN-L2-MN-NN-DE-PN</v>
      </c>
      <c r="G35" s="66"/>
      <c r="H35" s="72"/>
      <c r="I35" s="69"/>
      <c r="K35" s="71"/>
      <c r="L35" s="71"/>
      <c r="M35" s="71"/>
    </row>
    <row r="36" spans="2:13" ht="21" customHeight="1" x14ac:dyDescent="0.2">
      <c r="B36" s="46"/>
      <c r="C36" s="46"/>
      <c r="D36" s="46"/>
      <c r="E36" s="168"/>
      <c r="F36" s="52"/>
      <c r="G36" s="73"/>
      <c r="H36" s="74"/>
      <c r="I36" s="64"/>
      <c r="K36" s="63"/>
      <c r="L36" s="63"/>
      <c r="M36" s="63"/>
    </row>
    <row r="37" spans="2:13" ht="9.9499999999999993" customHeight="1" x14ac:dyDescent="0.2">
      <c r="B37" s="46"/>
      <c r="C37" s="75"/>
      <c r="D37" s="75"/>
      <c r="E37" s="169"/>
      <c r="F37" s="75"/>
      <c r="G37" s="52"/>
      <c r="H37" s="76"/>
      <c r="I37" s="64"/>
      <c r="J37" s="77"/>
      <c r="K37" s="63"/>
      <c r="L37" s="63"/>
      <c r="M37" s="63"/>
    </row>
    <row r="38" spans="2:13" ht="21" customHeight="1" x14ac:dyDescent="0.3">
      <c r="B38" s="46"/>
      <c r="C38" s="78" t="s">
        <v>523</v>
      </c>
      <c r="D38" s="78"/>
      <c r="E38" s="170"/>
      <c r="F38" s="79"/>
      <c r="G38" s="79"/>
      <c r="H38" s="80">
        <f>IF(F35="M1-FI-C4-BNA-DN-SP-BP-GN-C1-IN-JG-KN-L3-MN-NN-BG-PN","PN #10200950",IF(F35="M1-FI-C4-BNA-DN-SP-BP-GN-C1-IN-JG-KN-L3-MN-NN-CS-PN","PN #10200950",IF(F35="M1-FI-C4-BNA-DN-SP-BP-GN-C1-IN-JG-KN-L3-MN-NN-DA-PN","PN #10200950",IF(F35="M1-FI-C4-BNA-DN-SP-BP-GN-C1-IN-JG-KN-L3-MN-NN-DE-PN","PN #10200950",IF(F35="M1-FI-C4-BNA-DN-SP-BP-GN-C1-IN-JG-KN-L3-MN-NN-EL-PN","PN #10200950",IF(F35="M1-FI-C4-BNA-DN-SP-BP-GN-C1-IN-JG-KN-L3-MN-NN-EN-PN","PN #10200950",IF(F35="M1-FI-C4-BNA-DN-SP-BP-GN-C1-IN-JG-KN-L3-MN-NN-ES-PN","PN #10200950",IF(F35="M1-FI-C4-BNA-DN-SP-BP-GN-C1-IN-JG-KN-L3-MN-NN-FI-PN","PN #10200950",IF(F35="M1-FI-C4-BNA-DN-SP-BP-GN-C1-IN-JG-KN-L3-MN-NN-FR-PN","PN #10200950",IF(F35="M1-FI-C4-BNA-DN-SP-BP-GN-C1-IN-JG-KN-L3-MN-NN-HU-PN","PN #10200950",IF(F35="M1-FI-C4-BNA-DN-SP-BP-GN-C1-IN-JG-KN-L3-MN-NN-IT-PN","PN #10200950",IF(F35="M1-FI-C4-BNA-DN-SP-BP-GN-C1-IN-JG-KN-L3-MN-NN-KK-PN","PN #10200950",IF(F35="M1-FI-C4-BNA-DN-SP-BP-GN-C1-IN-JG-KN-L3-MN-NN-NL-PN","PN #10200950",IF(F35="M1-FI-C4-BNA-DN-SP-BP-GN-C1-IN-JG-KN-L3-MN-NN-NO-PN","PN #10200950",IF(F35="M1-FI-C4-BNA-DN-SP-BP-GN-C1-IN-JG-KN-L3-MN-NN-PL-PN","PN #10200950",IF(F35="M1-FI-C4-BNA-DN-SP-BP-GN-C1-IN-JG-KN-L3-MN-NN-PT-PN","PN #10200950",IF(F35="M1-FI-C4-BNA-DN-SP-BP-GN-C1-IN-JG-KN-L3-MN-NN-RO-PN","PN #10200950",IF(F35="M1-FI-C4-BNA-DN-SP-BP-GN-C1-IN-JG-KN-L3-MN-NN-RU-PN","PN #10200950",IF(F35="M1-FI-C4-BNA-DN-SP-BP-GN-C1-IN-JG-KN-L3-MN-NN-SK-PN","PN #10200950",IF(F35="M1-FI-C4-BNA-DN-SP-BP-GN-C1-IN-JG-KN-L3-MN-NN-SV-PN","PN #10200950",IF(F35="M1-FI-C4-BNA-DN-SP-BP-GN-C1-IN-JG-KN-L3-MN-NN-TR-PN","PN #10200950",IF(F35="M1-FI-C4-BNA-DN-SP-BP-GN-C1-IN-JG-KN-L3-MN-NN-UK-PN","PN #10200950",IF(F35="M1-FI-C4-BNA-DN-SP-BP-GN-C1-IN-JG-KN-L3-MN-NN-ON-PN","PN #10200950",SUM(H7:H31))))))))))))))))))))))))</f>
        <v>2824</v>
      </c>
      <c r="I38" s="46"/>
      <c r="J38" s="77"/>
      <c r="K38" s="81"/>
      <c r="L38" s="81"/>
      <c r="M38" s="63"/>
    </row>
    <row r="39" spans="2:13" ht="21" customHeight="1" x14ac:dyDescent="0.3">
      <c r="B39" s="46"/>
      <c r="C39" s="82" t="s">
        <v>389</v>
      </c>
      <c r="D39" s="82"/>
      <c r="E39" s="170"/>
      <c r="F39" s="79"/>
      <c r="G39" s="79"/>
      <c r="H39" s="83">
        <v>0</v>
      </c>
      <c r="I39" s="46"/>
      <c r="J39" s="77"/>
      <c r="K39" s="63"/>
      <c r="L39" s="63"/>
      <c r="M39" s="63"/>
    </row>
    <row r="40" spans="2:13" ht="21" customHeight="1" x14ac:dyDescent="0.3">
      <c r="B40" s="46"/>
      <c r="C40" s="84" t="s">
        <v>390</v>
      </c>
      <c r="D40" s="84"/>
      <c r="E40" s="171"/>
      <c r="F40" s="79"/>
      <c r="G40" s="85"/>
      <c r="H40" s="86">
        <f>+IF(H38="Check notifications","Check notifications",IF(ISERROR(H38*(1-H39)),H38,(H38*(1-H39))))</f>
        <v>2824</v>
      </c>
      <c r="I40" s="46"/>
      <c r="J40" s="77"/>
      <c r="K40" s="63"/>
      <c r="L40" s="63"/>
      <c r="M40" s="63"/>
    </row>
    <row r="41" spans="2:13" ht="21" customHeight="1" x14ac:dyDescent="0.3">
      <c r="B41" s="46"/>
      <c r="C41" s="82" t="s">
        <v>391</v>
      </c>
      <c r="D41" s="82"/>
      <c r="E41" s="171"/>
      <c r="F41" s="79"/>
      <c r="G41" s="85"/>
      <c r="H41" s="87">
        <v>1</v>
      </c>
      <c r="I41" s="46"/>
      <c r="J41" s="77"/>
      <c r="K41" s="63"/>
      <c r="L41" s="63"/>
      <c r="M41" s="63"/>
    </row>
    <row r="42" spans="2:13" ht="21" customHeight="1" x14ac:dyDescent="0.3">
      <c r="B42" s="46"/>
      <c r="C42" s="84" t="s">
        <v>392</v>
      </c>
      <c r="D42" s="84"/>
      <c r="E42" s="171"/>
      <c r="F42" s="79"/>
      <c r="G42" s="85"/>
      <c r="H42" s="86">
        <f>IF(H40="Check notifications","Check notifications",H40*H41)</f>
        <v>2824</v>
      </c>
      <c r="I42" s="46"/>
      <c r="J42" s="77"/>
      <c r="K42" s="63"/>
      <c r="L42" s="63"/>
      <c r="M42" s="63"/>
    </row>
    <row r="43" spans="2:13" ht="9.9499999999999993" customHeight="1" x14ac:dyDescent="0.2">
      <c r="B43" s="46"/>
      <c r="C43" s="88"/>
      <c r="D43" s="88"/>
      <c r="E43" s="135"/>
      <c r="F43" s="89"/>
      <c r="G43" s="89"/>
      <c r="H43" s="90"/>
      <c r="I43" s="46"/>
      <c r="J43" s="62"/>
      <c r="K43" s="63"/>
      <c r="L43" s="63"/>
      <c r="M43" s="63"/>
    </row>
    <row r="44" spans="2:13" ht="20.100000000000001" customHeight="1" x14ac:dyDescent="0.2">
      <c r="C44" s="91"/>
      <c r="D44" s="91"/>
      <c r="E44" s="136"/>
      <c r="F44" s="92"/>
      <c r="G44" s="92"/>
      <c r="H44" s="93"/>
      <c r="I44" s="45"/>
      <c r="J44" s="94"/>
      <c r="K44" s="63"/>
      <c r="L44" s="63"/>
      <c r="M44" s="63"/>
    </row>
    <row r="45" spans="2:13" x14ac:dyDescent="0.2">
      <c r="J45" s="62"/>
      <c r="K45" s="63"/>
      <c r="L45" s="63"/>
      <c r="M45" s="63"/>
    </row>
    <row r="46" spans="2:13" x14ac:dyDescent="0.2">
      <c r="K46" s="63"/>
      <c r="L46" s="63"/>
      <c r="M46" s="63"/>
    </row>
    <row r="47" spans="2:13" x14ac:dyDescent="0.2">
      <c r="H47" s="95"/>
      <c r="K47" s="63"/>
      <c r="L47" s="63"/>
      <c r="M47" s="63"/>
    </row>
    <row r="48" spans="2:13" x14ac:dyDescent="0.2">
      <c r="H48" s="95"/>
      <c r="K48" s="63"/>
      <c r="L48" s="63"/>
      <c r="M48" s="63"/>
    </row>
    <row r="49" spans="8:13" x14ac:dyDescent="0.2">
      <c r="K49" s="63"/>
      <c r="L49" s="63"/>
      <c r="M49" s="63"/>
    </row>
    <row r="50" spans="8:13" x14ac:dyDescent="0.2">
      <c r="K50" s="63"/>
      <c r="L50" s="63"/>
      <c r="M50" s="63"/>
    </row>
    <row r="51" spans="8:13" x14ac:dyDescent="0.2">
      <c r="H51" s="95"/>
      <c r="K51" s="63"/>
      <c r="L51" s="63"/>
      <c r="M51" s="63"/>
    </row>
    <row r="52" spans="8:13" x14ac:dyDescent="0.2">
      <c r="H52" s="95"/>
      <c r="K52" s="63"/>
      <c r="L52" s="63"/>
      <c r="M52" s="63"/>
    </row>
    <row r="53" spans="8:13" x14ac:dyDescent="0.2">
      <c r="K53" s="63"/>
      <c r="L53" s="63"/>
      <c r="M53" s="63"/>
    </row>
    <row r="54" spans="8:13" x14ac:dyDescent="0.2">
      <c r="K54" s="63"/>
      <c r="L54" s="63"/>
      <c r="M54" s="63"/>
    </row>
  </sheetData>
  <sheetProtection algorithmName="SHA-512" hashValue="VwuYsQ03GPoGCAgqlocIqReQo9boJujMCeWNzhINFslYEVT78EfRxLxkewN2AXMZbiTJ1pzryXEddwnFLAy5Sw==" saltValue="5IRiCQAoS7r/xc+IbCVbUQ==" spinCount="100000" sheet="1" objects="1" scenarios="1"/>
  <mergeCells count="1">
    <mergeCell ref="O7:U7"/>
  </mergeCells>
  <conditionalFormatting sqref="H6:H31">
    <cfRule type="containsText" dxfId="0" priority="2" operator="containsText" text="Not Compatible">
      <formula>NOT(ISERROR(SEARCH("Not Compatible",H6)))</formula>
    </cfRule>
  </conditionalFormatting>
  <pageMargins left="0.39370078740157483" right="0.39370078740157483" top="0.39370078740157483" bottom="0.44" header="0.51181102362204722" footer="0.17"/>
  <pageSetup paperSize="9" scale="87" orientation="landscape" r:id="rId1"/>
  <headerFooter alignWithMargins="0">
    <oddFooter>&amp;CCOMPANY CONFIDENTIAL&amp;ROctober 2007, Rev. 00</oddFooter>
  </headerFooter>
  <customProperties>
    <customPr name="_pios_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000-000000000000}">
          <x14:formula1>
            <xm:f>'Pricing Conditions M1 SCBA'!$B$2:$B$5</xm:f>
          </x14:formula1>
          <xm:sqref>F7</xm:sqref>
        </x14:dataValidation>
        <x14:dataValidation type="list" allowBlank="1" showInputMessage="1" showErrorMessage="1" xr:uid="{00000000-0002-0000-0000-000001000000}">
          <x14:formula1>
            <xm:f>'Pricing Conditions M1 SCBA'!$B$8:$B$14</xm:f>
          </x14:formula1>
          <xm:sqref>F8</xm:sqref>
        </x14:dataValidation>
        <x14:dataValidation type="list" allowBlank="1" showInputMessage="1" showErrorMessage="1" xr:uid="{00000000-0002-0000-0000-000002000000}">
          <x14:formula1>
            <xm:f>'Pricing Conditions M1 SCBA'!$V$2:$V$8</xm:f>
          </x14:formula1>
          <xm:sqref>F9</xm:sqref>
        </x14:dataValidation>
        <x14:dataValidation type="list" allowBlank="1" showInputMessage="1" showErrorMessage="1" xr:uid="{00000000-0002-0000-0000-000003000000}">
          <x14:formula1>
            <xm:f>'Pricing Conditions M1 SCBA'!$B$30:$B$41</xm:f>
          </x14:formula1>
          <xm:sqref>F10</xm:sqref>
        </x14:dataValidation>
        <x14:dataValidation type="list" allowBlank="1" showInputMessage="1" showErrorMessage="1" xr:uid="{00000000-0002-0000-0000-000004000000}">
          <x14:formula1>
            <xm:f>'Pricing Conditions M1 SCBA'!$B$46:$B$50</xm:f>
          </x14:formula1>
          <xm:sqref>F11:F12</xm:sqref>
        </x14:dataValidation>
        <x14:dataValidation type="list" allowBlank="1" showInputMessage="1" showErrorMessage="1" xr:uid="{00000000-0002-0000-0000-000005000000}">
          <x14:formula1>
            <xm:f>'Pricing Conditions M1 SCBA'!$B$53:$B$58</xm:f>
          </x14:formula1>
          <xm:sqref>F13:F14</xm:sqref>
        </x14:dataValidation>
        <x14:dataValidation type="list" allowBlank="1" showInputMessage="1" showErrorMessage="1" xr:uid="{00000000-0002-0000-0000-000006000000}">
          <x14:formula1>
            <xm:f>'Pricing Conditions M1 SCBA'!$B$61:$B$68</xm:f>
          </x14:formula1>
          <xm:sqref>F15:F16</xm:sqref>
        </x14:dataValidation>
        <x14:dataValidation type="list" allowBlank="1" showInputMessage="1" showErrorMessage="1" xr:uid="{00000000-0002-0000-0000-000007000000}">
          <x14:formula1>
            <xm:f>'Pricing Conditions M1 SCBA'!$B$71:$B$77</xm:f>
          </x14:formula1>
          <xm:sqref>F18:F19</xm:sqref>
        </x14:dataValidation>
        <x14:dataValidation type="list" allowBlank="1" showInputMessage="1" showErrorMessage="1" xr:uid="{00000000-0002-0000-0000-000008000000}">
          <x14:formula1>
            <xm:f>'Pricing Conditions M1 SCBA'!$B$80:$B$83</xm:f>
          </x14:formula1>
          <xm:sqref>F20:F21</xm:sqref>
        </x14:dataValidation>
        <x14:dataValidation type="list" allowBlank="1" showInputMessage="1" showErrorMessage="1" xr:uid="{00000000-0002-0000-0000-000009000000}">
          <x14:formula1>
            <xm:f>'Pricing Conditions M1 SCBA'!$B$86:$B$94</xm:f>
          </x14:formula1>
          <xm:sqref>F23</xm:sqref>
        </x14:dataValidation>
        <x14:dataValidation type="list" allowBlank="1" showInputMessage="1" showErrorMessage="1" xr:uid="{00000000-0002-0000-0000-00000A000000}">
          <x14:formula1>
            <xm:f>'Pricing Conditions M1 SCBA'!$B$98:$B$102</xm:f>
          </x14:formula1>
          <xm:sqref>F24:F25</xm:sqref>
        </x14:dataValidation>
        <x14:dataValidation type="list" allowBlank="1" showInputMessage="1" showErrorMessage="1" xr:uid="{00000000-0002-0000-0000-00000B000000}">
          <x14:formula1>
            <xm:f>'Pricing Conditions M1 SCBA'!$B$105:$B$115</xm:f>
          </x14:formula1>
          <xm:sqref>F26:F27</xm:sqref>
        </x14:dataValidation>
        <x14:dataValidation type="list" allowBlank="1" showInputMessage="1" showErrorMessage="1" xr:uid="{00000000-0002-0000-0000-00000C000000}">
          <x14:formula1>
            <xm:f>'Pricing Conditions M1 SCBA'!$B$118:$B$121</xm:f>
          </x14:formula1>
          <xm:sqref>F28</xm:sqref>
        </x14:dataValidation>
        <x14:dataValidation type="list" allowBlank="1" showInputMessage="1" showErrorMessage="1" xr:uid="{00000000-0002-0000-0000-00000D000000}">
          <x14:formula1>
            <xm:f>'Pricing Conditions M1 SCBA'!$B$124:$B$126</xm:f>
          </x14:formula1>
          <xm:sqref>F29</xm:sqref>
        </x14:dataValidation>
        <x14:dataValidation type="list" allowBlank="1" showInputMessage="1" showErrorMessage="1" xr:uid="{00000000-0002-0000-0000-00000E000000}">
          <x14:formula1>
            <xm:f>'Pricing Conditions M1 SCBA'!$B$129:$B$151</xm:f>
          </x14:formula1>
          <xm:sqref>F30</xm:sqref>
        </x14:dataValidation>
        <x14:dataValidation type="list" allowBlank="1" showInputMessage="1" showErrorMessage="1" xr:uid="{00000000-0002-0000-0000-00000F000000}">
          <x14:formula1>
            <xm:f>'Pricing Conditions M1 SCBA'!$B$154:$B$155</xm:f>
          </x14:formula1>
          <xm:sqref>F31</xm:sqref>
        </x14:dataValidation>
        <x14:dataValidation type="list" allowBlank="1" showInputMessage="1" showErrorMessage="1" xr:uid="{00000000-0002-0000-0000-000010000000}">
          <x14:formula1>
            <xm:f>'Pricing Conditions M1 SCBA'!$B$71:$B$75</xm:f>
          </x14:formula1>
          <xm:sqref>F17</xm:sqref>
        </x14:dataValidation>
        <x14:dataValidation type="list" allowBlank="1" showInputMessage="1" showErrorMessage="1" xr:uid="{00000000-0002-0000-0000-000011000000}">
          <x14:formula1>
            <xm:f>'Pricing Conditions M1 SCBA'!$B$86:$B$95</xm:f>
          </x14:formula1>
          <xm:sqref>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6"/>
  <sheetViews>
    <sheetView zoomScale="60" zoomScaleNormal="60" workbookViewId="0">
      <pane ySplit="1" topLeftCell="A5" activePane="bottomLeft" state="frozen"/>
      <selection activeCell="B4" sqref="B4"/>
      <selection pane="bottomLeft" activeCell="A41" sqref="A41:XFD41"/>
    </sheetView>
  </sheetViews>
  <sheetFormatPr defaultColWidth="9.140625" defaultRowHeight="15" x14ac:dyDescent="0.25"/>
  <cols>
    <col min="1" max="1" width="26" style="8" customWidth="1"/>
    <col min="2" max="2" width="56.28515625" style="10" customWidth="1"/>
    <col min="3" max="3" width="54.7109375" bestFit="1" customWidth="1"/>
    <col min="4" max="4" width="46.28515625" style="8" bestFit="1" customWidth="1"/>
    <col min="5" max="5" width="26.7109375" bestFit="1" customWidth="1"/>
    <col min="6" max="6" width="35.42578125" customWidth="1"/>
    <col min="7" max="7" width="4.140625" style="8" customWidth="1"/>
    <col min="8" max="8" width="26" style="8" customWidth="1"/>
    <col min="9" max="9" width="35.42578125" customWidth="1"/>
    <col min="10" max="10" width="21.28515625" style="8" customWidth="1"/>
    <col min="11" max="11" width="11.85546875" hidden="1" customWidth="1"/>
    <col min="12" max="12" width="13.28515625" hidden="1" customWidth="1"/>
    <col min="13" max="13" width="11" hidden="1" customWidth="1"/>
    <col min="14" max="14" width="0" hidden="1" customWidth="1"/>
    <col min="15" max="15" width="21.140625" hidden="1" customWidth="1"/>
    <col min="16" max="16" width="7.42578125" hidden="1" customWidth="1"/>
    <col min="17" max="19" width="0" hidden="1" customWidth="1"/>
    <col min="21" max="21" width="9.140625" bestFit="1" customWidth="1"/>
  </cols>
  <sheetData>
    <row r="1" spans="1:22" ht="30" x14ac:dyDescent="0.25">
      <c r="A1" s="1" t="s">
        <v>0</v>
      </c>
      <c r="B1" s="2"/>
      <c r="C1" s="3" t="s">
        <v>1</v>
      </c>
      <c r="D1" s="4" t="s">
        <v>2</v>
      </c>
      <c r="E1" s="4" t="s">
        <v>352</v>
      </c>
      <c r="F1" s="154" t="s">
        <v>500</v>
      </c>
      <c r="G1" s="1"/>
      <c r="H1" s="1" t="s">
        <v>0</v>
      </c>
      <c r="I1" s="24" t="s">
        <v>462</v>
      </c>
      <c r="J1" s="153" t="s">
        <v>499</v>
      </c>
      <c r="K1" t="s">
        <v>372</v>
      </c>
      <c r="L1" t="s">
        <v>373</v>
      </c>
      <c r="M1" t="s">
        <v>374</v>
      </c>
      <c r="O1" t="str">
        <f>+CONCATENATE("M1","-",O2,"-",O3,"-",O4,"-",O5,"-",O6,"-",O7,"-",O8,"-",O9,"-",O10,"-",O11,"-",O15,"-",O16,"-",O17,"-",O18,"-",O19,"-",O20)</f>
        <v>M1-RE-C4-BSO-DB-SM-AP-GN-SL-IN-J5-k2-L1-HS-NN-EN-PN</v>
      </c>
      <c r="U1" s="26" t="s">
        <v>26</v>
      </c>
      <c r="V1" s="10"/>
    </row>
    <row r="2" spans="1:22" x14ac:dyDescent="0.25">
      <c r="A2" s="27" t="s">
        <v>3</v>
      </c>
      <c r="B2" s="5" t="s">
        <v>4</v>
      </c>
      <c r="C2" s="7" t="s">
        <v>5</v>
      </c>
      <c r="D2" s="8" t="s">
        <v>6</v>
      </c>
      <c r="F2" s="34">
        <f>ROUND(I2*(1+J2),0)</f>
        <v>284</v>
      </c>
      <c r="G2" s="35">
        <v>1</v>
      </c>
      <c r="H2" s="27" t="s">
        <v>3</v>
      </c>
      <c r="I2" s="34">
        <v>277</v>
      </c>
      <c r="J2" s="172">
        <v>2.7E-2</v>
      </c>
      <c r="O2" t="s">
        <v>3</v>
      </c>
      <c r="P2">
        <f t="shared" ref="P2:P11" si="0">+IFERROR(VLOOKUP(O2,$A:$F,6,FALSE)/1,0)</f>
        <v>284</v>
      </c>
      <c r="U2" s="28" t="s">
        <v>27</v>
      </c>
      <c r="V2" s="14" t="s">
        <v>28</v>
      </c>
    </row>
    <row r="3" spans="1:22" x14ac:dyDescent="0.25">
      <c r="A3" s="27" t="s">
        <v>7</v>
      </c>
      <c r="B3" s="9" t="s">
        <v>8</v>
      </c>
      <c r="C3" s="7" t="s">
        <v>9</v>
      </c>
      <c r="D3" s="8" t="s">
        <v>6</v>
      </c>
      <c r="F3" s="34">
        <f t="shared" ref="F3:F4" si="1">ROUND(I3*(1+J3),0)</f>
        <v>199</v>
      </c>
      <c r="G3" s="35">
        <f>G2+1</f>
        <v>2</v>
      </c>
      <c r="H3" s="27" t="s">
        <v>7</v>
      </c>
      <c r="I3" s="34">
        <v>194</v>
      </c>
      <c r="J3" s="172">
        <v>2.7E-2</v>
      </c>
      <c r="K3" s="25"/>
      <c r="L3" s="25"/>
      <c r="M3" s="25">
        <v>560</v>
      </c>
      <c r="O3" t="s">
        <v>22</v>
      </c>
      <c r="P3">
        <f t="shared" si="0"/>
        <v>0</v>
      </c>
      <c r="U3" s="29" t="s">
        <v>29</v>
      </c>
      <c r="V3" s="14" t="s">
        <v>30</v>
      </c>
    </row>
    <row r="4" spans="1:22" x14ac:dyDescent="0.25">
      <c r="A4" s="27" t="s">
        <v>10</v>
      </c>
      <c r="B4" s="5" t="s">
        <v>11</v>
      </c>
      <c r="C4" s="6" t="s">
        <v>12</v>
      </c>
      <c r="D4" s="8" t="s">
        <v>6</v>
      </c>
      <c r="F4" s="34">
        <f t="shared" si="1"/>
        <v>284</v>
      </c>
      <c r="G4" s="35">
        <f t="shared" ref="G4:G5" si="2">G3+1</f>
        <v>3</v>
      </c>
      <c r="H4" s="27" t="s">
        <v>10</v>
      </c>
      <c r="I4" s="34">
        <v>277</v>
      </c>
      <c r="J4" s="172">
        <v>2.7E-2</v>
      </c>
      <c r="K4" s="25">
        <v>0</v>
      </c>
      <c r="L4" s="25">
        <v>454</v>
      </c>
      <c r="M4" s="25"/>
      <c r="O4" t="s">
        <v>33</v>
      </c>
      <c r="P4">
        <f t="shared" si="0"/>
        <v>262</v>
      </c>
      <c r="U4" s="29" t="s">
        <v>33</v>
      </c>
      <c r="V4" s="15" t="s">
        <v>34</v>
      </c>
    </row>
    <row r="5" spans="1:22" x14ac:dyDescent="0.25">
      <c r="A5" s="27" t="s">
        <v>13</v>
      </c>
      <c r="B5" s="5" t="s">
        <v>14</v>
      </c>
      <c r="C5" s="7" t="s">
        <v>15</v>
      </c>
      <c r="D5" s="8" t="s">
        <v>6</v>
      </c>
      <c r="F5" s="34" t="s">
        <v>375</v>
      </c>
      <c r="G5" s="35">
        <f t="shared" si="2"/>
        <v>4</v>
      </c>
      <c r="H5" s="27" t="s">
        <v>13</v>
      </c>
      <c r="I5" s="34" t="s">
        <v>375</v>
      </c>
      <c r="J5" s="172">
        <v>2.7E-2</v>
      </c>
      <c r="K5" s="25"/>
      <c r="L5" s="25"/>
      <c r="M5" s="25"/>
      <c r="O5" t="s">
        <v>72</v>
      </c>
      <c r="P5">
        <f t="shared" si="0"/>
        <v>17</v>
      </c>
      <c r="U5" s="30" t="s">
        <v>37</v>
      </c>
      <c r="V5" s="15" t="s">
        <v>38</v>
      </c>
    </row>
    <row r="6" spans="1:22" x14ac:dyDescent="0.25">
      <c r="C6" s="11"/>
      <c r="F6" s="25"/>
      <c r="G6" s="35"/>
      <c r="I6" s="25"/>
      <c r="J6" s="172"/>
      <c r="K6" s="25"/>
      <c r="L6" s="25"/>
      <c r="M6" s="25"/>
      <c r="O6" t="s">
        <v>125</v>
      </c>
      <c r="P6">
        <f t="shared" si="0"/>
        <v>70</v>
      </c>
      <c r="U6" s="29" t="s">
        <v>57</v>
      </c>
      <c r="V6" s="16" t="s">
        <v>58</v>
      </c>
    </row>
    <row r="7" spans="1:22" x14ac:dyDescent="0.25">
      <c r="A7" s="26" t="s">
        <v>16</v>
      </c>
      <c r="C7" s="11"/>
      <c r="F7" s="26" t="s">
        <v>16</v>
      </c>
      <c r="G7" s="35">
        <f>+G5+1</f>
        <v>5</v>
      </c>
      <c r="H7" s="26" t="s">
        <v>16</v>
      </c>
      <c r="I7" s="26" t="s">
        <v>16</v>
      </c>
      <c r="J7" s="172"/>
      <c r="K7" s="25"/>
      <c r="L7" s="25"/>
      <c r="M7" s="25"/>
      <c r="O7" t="s">
        <v>142</v>
      </c>
      <c r="P7">
        <f t="shared" si="0"/>
        <v>506</v>
      </c>
      <c r="U7" s="29" t="s">
        <v>61</v>
      </c>
      <c r="V7" s="16" t="s">
        <v>62</v>
      </c>
    </row>
    <row r="8" spans="1:22" x14ac:dyDescent="0.25">
      <c r="A8" s="27" t="s">
        <v>17</v>
      </c>
      <c r="B8" s="5" t="s">
        <v>18</v>
      </c>
      <c r="C8" s="11" t="s">
        <v>19</v>
      </c>
      <c r="F8" s="34" t="s">
        <v>375</v>
      </c>
      <c r="G8" s="35">
        <f t="shared" ref="G8:G71" si="3">G7+1</f>
        <v>6</v>
      </c>
      <c r="H8" s="27" t="s">
        <v>17</v>
      </c>
      <c r="I8" s="34" t="s">
        <v>375</v>
      </c>
      <c r="J8" s="172"/>
      <c r="K8" s="25"/>
      <c r="L8" s="25"/>
      <c r="M8" s="25"/>
      <c r="O8" t="s">
        <v>153</v>
      </c>
      <c r="P8">
        <f t="shared" si="0"/>
        <v>0</v>
      </c>
      <c r="U8" s="31" t="s">
        <v>65</v>
      </c>
      <c r="V8" s="16" t="s">
        <v>66</v>
      </c>
    </row>
    <row r="9" spans="1:22" x14ac:dyDescent="0.25">
      <c r="A9" s="27" t="s">
        <v>20</v>
      </c>
      <c r="B9" s="13" t="s">
        <v>21</v>
      </c>
      <c r="C9" s="11" t="s">
        <v>19</v>
      </c>
      <c r="F9" s="34" t="s">
        <v>375</v>
      </c>
      <c r="G9" s="35">
        <f t="shared" si="3"/>
        <v>7</v>
      </c>
      <c r="H9" s="27" t="s">
        <v>20</v>
      </c>
      <c r="I9" s="34" t="s">
        <v>375</v>
      </c>
      <c r="J9" s="172"/>
      <c r="K9" s="25"/>
      <c r="L9" s="25"/>
      <c r="M9" s="25"/>
      <c r="O9" t="s">
        <v>179</v>
      </c>
      <c r="P9">
        <f t="shared" si="0"/>
        <v>333</v>
      </c>
    </row>
    <row r="10" spans="1:22" x14ac:dyDescent="0.25">
      <c r="A10" s="27" t="s">
        <v>22</v>
      </c>
      <c r="B10" s="5" t="s">
        <v>23</v>
      </c>
      <c r="C10" s="11" t="s">
        <v>19</v>
      </c>
      <c r="F10" s="34" t="s">
        <v>375</v>
      </c>
      <c r="G10" s="35">
        <f t="shared" si="3"/>
        <v>8</v>
      </c>
      <c r="H10" s="27" t="s">
        <v>22</v>
      </c>
      <c r="I10" s="34" t="s">
        <v>375</v>
      </c>
      <c r="J10" s="172"/>
      <c r="K10" s="25"/>
      <c r="L10" s="25"/>
      <c r="M10" s="25"/>
      <c r="O10" t="s">
        <v>198</v>
      </c>
      <c r="P10">
        <f t="shared" si="0"/>
        <v>0</v>
      </c>
    </row>
    <row r="11" spans="1:22" x14ac:dyDescent="0.25">
      <c r="A11" s="27" t="s">
        <v>24</v>
      </c>
      <c r="B11" s="5" t="s">
        <v>25</v>
      </c>
      <c r="C11" s="11" t="s">
        <v>19</v>
      </c>
      <c r="F11" s="34" t="s">
        <v>375</v>
      </c>
      <c r="G11" s="35">
        <f>G10+1</f>
        <v>9</v>
      </c>
      <c r="H11" s="27" t="s">
        <v>24</v>
      </c>
      <c r="I11" s="34" t="s">
        <v>375</v>
      </c>
      <c r="J11" s="172"/>
      <c r="K11" s="25"/>
      <c r="L11" s="25"/>
      <c r="M11" s="25"/>
      <c r="O11" t="s">
        <v>229</v>
      </c>
      <c r="P11">
        <f t="shared" si="0"/>
        <v>842</v>
      </c>
    </row>
    <row r="12" spans="1:22" x14ac:dyDescent="0.25">
      <c r="A12" s="27" t="s">
        <v>525</v>
      </c>
      <c r="B12" s="5" t="s">
        <v>527</v>
      </c>
      <c r="C12" s="11" t="s">
        <v>19</v>
      </c>
      <c r="F12" s="34">
        <v>55</v>
      </c>
      <c r="G12" s="35">
        <f>G11+1</f>
        <v>10</v>
      </c>
      <c r="H12" s="35"/>
      <c r="I12" s="34"/>
      <c r="J12" s="172"/>
      <c r="K12" s="25"/>
      <c r="L12" s="25"/>
      <c r="M12" s="25"/>
    </row>
    <row r="13" spans="1:22" x14ac:dyDescent="0.25">
      <c r="A13" s="27" t="s">
        <v>194</v>
      </c>
      <c r="B13" s="5" t="s">
        <v>528</v>
      </c>
      <c r="C13" s="11" t="s">
        <v>19</v>
      </c>
      <c r="F13" s="34">
        <v>55</v>
      </c>
      <c r="G13" s="35">
        <f t="shared" ref="G13:G14" si="4">G12+1</f>
        <v>11</v>
      </c>
      <c r="H13" s="35"/>
      <c r="I13" s="34"/>
      <c r="J13" s="172"/>
      <c r="K13" s="25"/>
      <c r="L13" s="25"/>
      <c r="M13" s="25"/>
    </row>
    <row r="14" spans="1:22" x14ac:dyDescent="0.25">
      <c r="A14" s="27" t="s">
        <v>526</v>
      </c>
      <c r="B14" s="5" t="s">
        <v>529</v>
      </c>
      <c r="C14" s="11" t="s">
        <v>19</v>
      </c>
      <c r="F14" s="34" t="s">
        <v>375</v>
      </c>
      <c r="G14" s="35">
        <f t="shared" si="4"/>
        <v>12</v>
      </c>
      <c r="H14" s="35"/>
      <c r="I14" s="34"/>
      <c r="J14" s="172"/>
      <c r="K14" s="25"/>
      <c r="L14" s="25"/>
      <c r="M14" s="25"/>
    </row>
    <row r="15" spans="1:22" x14ac:dyDescent="0.25">
      <c r="F15" s="25"/>
      <c r="G15" s="35"/>
      <c r="I15" s="25"/>
      <c r="J15" s="172"/>
      <c r="K15" s="25"/>
      <c r="L15" s="25"/>
      <c r="M15" s="25"/>
      <c r="O15" t="s">
        <v>380</v>
      </c>
      <c r="P15">
        <f t="shared" ref="P15:P20" si="5">+IFERROR(VLOOKUP(O15,$A:$F,6,FALSE)/1,0)</f>
        <v>290</v>
      </c>
    </row>
    <row r="16" spans="1:22" x14ac:dyDescent="0.25">
      <c r="A16" s="26" t="s">
        <v>26</v>
      </c>
      <c r="F16" s="26" t="s">
        <v>26</v>
      </c>
      <c r="G16" s="35">
        <f>+G14+1</f>
        <v>13</v>
      </c>
      <c r="H16" s="26" t="s">
        <v>26</v>
      </c>
      <c r="I16" s="26" t="s">
        <v>26</v>
      </c>
      <c r="J16" s="172"/>
      <c r="K16" s="25"/>
      <c r="L16" s="25"/>
      <c r="M16" s="25"/>
      <c r="O16" t="s">
        <v>261</v>
      </c>
      <c r="P16">
        <f t="shared" si="5"/>
        <v>443</v>
      </c>
    </row>
    <row r="17" spans="1:20" x14ac:dyDescent="0.25">
      <c r="A17" s="28" t="s">
        <v>27</v>
      </c>
      <c r="B17" s="14" t="s">
        <v>28</v>
      </c>
      <c r="C17" s="11" t="s">
        <v>19</v>
      </c>
      <c r="F17" s="34" t="s">
        <v>375</v>
      </c>
      <c r="G17" s="35">
        <f t="shared" si="3"/>
        <v>14</v>
      </c>
      <c r="H17" s="28" t="s">
        <v>27</v>
      </c>
      <c r="I17" s="34" t="s">
        <v>375</v>
      </c>
      <c r="J17" s="172"/>
      <c r="K17" s="25"/>
      <c r="L17" s="25"/>
      <c r="M17" s="25"/>
      <c r="O17" t="s">
        <v>297</v>
      </c>
      <c r="P17">
        <f t="shared" si="5"/>
        <v>17</v>
      </c>
    </row>
    <row r="18" spans="1:20" x14ac:dyDescent="0.25">
      <c r="A18" s="29" t="s">
        <v>29</v>
      </c>
      <c r="B18" s="14" t="s">
        <v>30</v>
      </c>
      <c r="C18" s="7" t="s">
        <v>31</v>
      </c>
      <c r="D18" s="8" t="s">
        <v>32</v>
      </c>
      <c r="F18" s="34">
        <f t="shared" ref="F18:F20" si="6">ROUND(I18*(1+$J$2),0)</f>
        <v>174</v>
      </c>
      <c r="G18" s="35">
        <f t="shared" si="3"/>
        <v>15</v>
      </c>
      <c r="H18" s="29" t="s">
        <v>29</v>
      </c>
      <c r="I18" s="34">
        <v>169</v>
      </c>
      <c r="J18" s="172">
        <v>2.7E-2</v>
      </c>
      <c r="K18" s="25"/>
      <c r="L18" s="25"/>
      <c r="M18" s="25"/>
      <c r="O18" t="s">
        <v>305</v>
      </c>
      <c r="P18">
        <f t="shared" si="5"/>
        <v>0</v>
      </c>
    </row>
    <row r="19" spans="1:20" x14ac:dyDescent="0.25">
      <c r="A19" s="29" t="s">
        <v>33</v>
      </c>
      <c r="B19" s="15" t="s">
        <v>34</v>
      </c>
      <c r="C19" s="7" t="s">
        <v>35</v>
      </c>
      <c r="D19" s="8" t="s">
        <v>36</v>
      </c>
      <c r="F19" s="34">
        <f t="shared" si="6"/>
        <v>262</v>
      </c>
      <c r="G19" s="35">
        <f t="shared" si="3"/>
        <v>16</v>
      </c>
      <c r="H19" s="29" t="s">
        <v>33</v>
      </c>
      <c r="I19" s="34">
        <v>255</v>
      </c>
      <c r="J19" s="172">
        <v>2.7E-2</v>
      </c>
      <c r="K19" s="25"/>
      <c r="L19" s="25"/>
      <c r="M19" s="25"/>
      <c r="O19" t="s">
        <v>115</v>
      </c>
      <c r="P19">
        <f t="shared" si="5"/>
        <v>0</v>
      </c>
    </row>
    <row r="20" spans="1:20" x14ac:dyDescent="0.25">
      <c r="A20" s="30" t="s">
        <v>37</v>
      </c>
      <c r="B20" s="15" t="s">
        <v>38</v>
      </c>
      <c r="C20" s="7" t="s">
        <v>39</v>
      </c>
      <c r="D20" s="8" t="s">
        <v>40</v>
      </c>
      <c r="F20" s="34">
        <f t="shared" si="6"/>
        <v>348</v>
      </c>
      <c r="G20" s="35">
        <f t="shared" si="3"/>
        <v>17</v>
      </c>
      <c r="H20" s="30" t="s">
        <v>37</v>
      </c>
      <c r="I20" s="34">
        <v>339</v>
      </c>
      <c r="J20" s="172">
        <v>2.7E-2</v>
      </c>
      <c r="K20" s="25"/>
      <c r="L20" s="25"/>
      <c r="M20" s="25"/>
      <c r="O20" t="s">
        <v>345</v>
      </c>
      <c r="P20">
        <f t="shared" si="5"/>
        <v>0</v>
      </c>
    </row>
    <row r="21" spans="1:20" x14ac:dyDescent="0.25">
      <c r="A21" s="32" t="s">
        <v>41</v>
      </c>
      <c r="B21" s="13" t="s">
        <v>42</v>
      </c>
      <c r="C21" s="7" t="s">
        <v>43</v>
      </c>
      <c r="D21" s="8" t="s">
        <v>44</v>
      </c>
      <c r="F21" s="33" t="s">
        <v>376</v>
      </c>
      <c r="G21" s="35">
        <f t="shared" si="3"/>
        <v>18</v>
      </c>
      <c r="H21" s="32" t="s">
        <v>41</v>
      </c>
      <c r="I21" s="33" t="s">
        <v>376</v>
      </c>
      <c r="J21" s="172"/>
      <c r="K21" s="25"/>
      <c r="L21" s="25"/>
      <c r="M21" s="25"/>
    </row>
    <row r="22" spans="1:20" x14ac:dyDescent="0.25">
      <c r="A22" s="32" t="s">
        <v>45</v>
      </c>
      <c r="B22" s="13" t="s">
        <v>46</v>
      </c>
      <c r="C22" s="7" t="s">
        <v>47</v>
      </c>
      <c r="D22" s="8" t="s">
        <v>48</v>
      </c>
      <c r="F22" s="33" t="s">
        <v>376</v>
      </c>
      <c r="G22" s="35">
        <f t="shared" si="3"/>
        <v>19</v>
      </c>
      <c r="H22" s="32" t="s">
        <v>45</v>
      </c>
      <c r="I22" s="33" t="s">
        <v>376</v>
      </c>
      <c r="J22" s="172"/>
      <c r="K22" s="25"/>
      <c r="L22" s="25"/>
      <c r="M22" s="25"/>
      <c r="P22" s="40">
        <f>+SUM(P2:P20)</f>
        <v>3064</v>
      </c>
    </row>
    <row r="23" spans="1:20" x14ac:dyDescent="0.25">
      <c r="A23" s="32" t="s">
        <v>49</v>
      </c>
      <c r="B23" s="13" t="s">
        <v>50</v>
      </c>
      <c r="C23" s="7" t="s">
        <v>51</v>
      </c>
      <c r="D23" s="8" t="s">
        <v>52</v>
      </c>
      <c r="F23" s="33" t="s">
        <v>376</v>
      </c>
      <c r="G23" s="35">
        <f t="shared" si="3"/>
        <v>20</v>
      </c>
      <c r="H23" s="32" t="s">
        <v>49</v>
      </c>
      <c r="I23" s="33" t="s">
        <v>376</v>
      </c>
      <c r="J23" s="172"/>
      <c r="K23" s="25"/>
      <c r="L23" s="25"/>
      <c r="M23" s="25"/>
    </row>
    <row r="24" spans="1:20" x14ac:dyDescent="0.25">
      <c r="A24" s="32" t="s">
        <v>53</v>
      </c>
      <c r="B24" s="13" t="s">
        <v>54</v>
      </c>
      <c r="C24" s="7" t="s">
        <v>55</v>
      </c>
      <c r="D24" s="8" t="s">
        <v>56</v>
      </c>
      <c r="F24" s="33" t="s">
        <v>376</v>
      </c>
      <c r="G24" s="35">
        <f t="shared" si="3"/>
        <v>21</v>
      </c>
      <c r="H24" s="32" t="s">
        <v>53</v>
      </c>
      <c r="I24" s="33" t="s">
        <v>376</v>
      </c>
      <c r="J24" s="172"/>
      <c r="K24" s="25"/>
      <c r="L24" s="25"/>
      <c r="M24" s="25"/>
    </row>
    <row r="25" spans="1:20" x14ac:dyDescent="0.25">
      <c r="A25" s="29" t="s">
        <v>57</v>
      </c>
      <c r="B25" s="15" t="s">
        <v>58</v>
      </c>
      <c r="C25" s="7" t="s">
        <v>59</v>
      </c>
      <c r="D25" s="8" t="s">
        <v>60</v>
      </c>
      <c r="F25" s="34">
        <f>ROUND(I25*(1+J25),0)</f>
        <v>272</v>
      </c>
      <c r="G25" s="35">
        <f>G24+1</f>
        <v>22</v>
      </c>
      <c r="H25" s="29" t="s">
        <v>57</v>
      </c>
      <c r="I25" s="34">
        <v>259</v>
      </c>
      <c r="J25" s="173">
        <v>0.05</v>
      </c>
      <c r="K25" s="25"/>
      <c r="L25" s="25"/>
      <c r="M25" s="25"/>
      <c r="T25" t="s">
        <v>501</v>
      </c>
    </row>
    <row r="26" spans="1:20" x14ac:dyDescent="0.25">
      <c r="A26" s="29" t="s">
        <v>61</v>
      </c>
      <c r="B26" s="15" t="s">
        <v>62</v>
      </c>
      <c r="C26" s="7" t="s">
        <v>63</v>
      </c>
      <c r="D26" s="8" t="s">
        <v>64</v>
      </c>
      <c r="F26" s="34">
        <f t="shared" ref="F26:F27" si="7">ROUND(I26*(1+J26),0)</f>
        <v>410</v>
      </c>
      <c r="G26" s="35">
        <f t="shared" si="3"/>
        <v>23</v>
      </c>
      <c r="H26" s="29" t="s">
        <v>61</v>
      </c>
      <c r="I26" s="34">
        <v>390</v>
      </c>
      <c r="J26" s="173">
        <v>0.05</v>
      </c>
      <c r="K26" s="25"/>
      <c r="L26" s="25"/>
      <c r="M26" s="25"/>
      <c r="T26" t="s">
        <v>501</v>
      </c>
    </row>
    <row r="27" spans="1:20" x14ac:dyDescent="0.25">
      <c r="A27" s="31" t="s">
        <v>65</v>
      </c>
      <c r="B27" s="15" t="s">
        <v>66</v>
      </c>
      <c r="C27" s="6" t="s">
        <v>67</v>
      </c>
      <c r="D27" s="8" t="s">
        <v>68</v>
      </c>
      <c r="F27" s="34">
        <f t="shared" si="7"/>
        <v>485</v>
      </c>
      <c r="G27" s="35">
        <f t="shared" si="3"/>
        <v>24</v>
      </c>
      <c r="H27" s="31" t="s">
        <v>65</v>
      </c>
      <c r="I27" s="34">
        <v>462</v>
      </c>
      <c r="J27" s="173">
        <v>0.05</v>
      </c>
      <c r="K27" s="25"/>
      <c r="L27" s="25"/>
      <c r="M27" s="25"/>
      <c r="T27" t="s">
        <v>501</v>
      </c>
    </row>
    <row r="28" spans="1:20" x14ac:dyDescent="0.25">
      <c r="F28" s="25"/>
      <c r="G28" s="35"/>
      <c r="I28" s="25"/>
      <c r="J28" s="172"/>
      <c r="K28" s="25"/>
      <c r="L28" s="25"/>
      <c r="M28" s="25"/>
    </row>
    <row r="29" spans="1:20" x14ac:dyDescent="0.25">
      <c r="A29" s="26" t="s">
        <v>69</v>
      </c>
      <c r="F29" s="26" t="s">
        <v>69</v>
      </c>
      <c r="G29" s="35">
        <f>+G27+1</f>
        <v>25</v>
      </c>
      <c r="H29" s="26" t="s">
        <v>69</v>
      </c>
      <c r="I29" s="26" t="s">
        <v>69</v>
      </c>
      <c r="J29" s="172"/>
      <c r="K29" s="25"/>
      <c r="L29" s="25"/>
      <c r="M29" s="25"/>
    </row>
    <row r="30" spans="1:20" x14ac:dyDescent="0.25">
      <c r="A30" s="28" t="s">
        <v>70</v>
      </c>
      <c r="B30" s="14" t="s">
        <v>71</v>
      </c>
      <c r="C30" s="11" t="s">
        <v>19</v>
      </c>
      <c r="F30" s="34" t="s">
        <v>375</v>
      </c>
      <c r="G30" s="35">
        <f t="shared" si="3"/>
        <v>26</v>
      </c>
      <c r="H30" s="28" t="s">
        <v>70</v>
      </c>
      <c r="I30" s="34" t="s">
        <v>375</v>
      </c>
      <c r="J30" s="172"/>
      <c r="K30" s="25"/>
      <c r="L30" s="25"/>
      <c r="M30" s="25"/>
    </row>
    <row r="31" spans="1:20" x14ac:dyDescent="0.25">
      <c r="A31" s="29" t="s">
        <v>72</v>
      </c>
      <c r="B31" s="14" t="s">
        <v>73</v>
      </c>
      <c r="C31" s="7" t="s">
        <v>74</v>
      </c>
      <c r="D31" s="17" t="s">
        <v>75</v>
      </c>
      <c r="E31" t="s">
        <v>363</v>
      </c>
      <c r="F31" s="34">
        <f t="shared" ref="F31:F33" si="8">ROUND(I31*(1+$J$2),0)</f>
        <v>17</v>
      </c>
      <c r="G31" s="35">
        <f t="shared" si="3"/>
        <v>27</v>
      </c>
      <c r="H31" s="29" t="s">
        <v>72</v>
      </c>
      <c r="I31" s="34">
        <v>17</v>
      </c>
      <c r="J31" s="172">
        <v>2.7E-2</v>
      </c>
      <c r="K31" s="25"/>
      <c r="L31" s="25"/>
      <c r="M31" s="25"/>
    </row>
    <row r="32" spans="1:20" x14ac:dyDescent="0.25">
      <c r="A32" s="29" t="s">
        <v>76</v>
      </c>
      <c r="B32" s="14" t="s">
        <v>77</v>
      </c>
      <c r="C32" s="6" t="s">
        <v>78</v>
      </c>
      <c r="D32" s="17" t="s">
        <v>79</v>
      </c>
      <c r="E32" t="s">
        <v>364</v>
      </c>
      <c r="F32" s="34">
        <f t="shared" si="8"/>
        <v>146</v>
      </c>
      <c r="G32" s="35">
        <f t="shared" si="3"/>
        <v>28</v>
      </c>
      <c r="H32" s="29" t="s">
        <v>76</v>
      </c>
      <c r="I32" s="34">
        <v>142</v>
      </c>
      <c r="J32" s="172">
        <v>2.7E-2</v>
      </c>
      <c r="K32" s="25"/>
      <c r="L32" s="25"/>
      <c r="M32" s="25"/>
    </row>
    <row r="33" spans="1:13" x14ac:dyDescent="0.25">
      <c r="A33" s="29" t="s">
        <v>80</v>
      </c>
      <c r="B33" s="14" t="s">
        <v>81</v>
      </c>
      <c r="C33" s="6" t="s">
        <v>82</v>
      </c>
      <c r="D33" s="17" t="s">
        <v>83</v>
      </c>
      <c r="E33" t="s">
        <v>365</v>
      </c>
      <c r="F33" s="34">
        <f t="shared" si="8"/>
        <v>52</v>
      </c>
      <c r="G33" s="35">
        <f t="shared" si="3"/>
        <v>29</v>
      </c>
      <c r="H33" s="29" t="s">
        <v>80</v>
      </c>
      <c r="I33" s="34">
        <v>51</v>
      </c>
      <c r="J33" s="172">
        <v>2.7E-2</v>
      </c>
      <c r="K33" s="25"/>
      <c r="L33" s="25"/>
      <c r="M33" s="25"/>
    </row>
    <row r="34" spans="1:13" x14ac:dyDescent="0.25">
      <c r="A34" s="32" t="s">
        <v>84</v>
      </c>
      <c r="B34" s="14" t="s">
        <v>85</v>
      </c>
      <c r="C34" s="6" t="s">
        <v>86</v>
      </c>
      <c r="D34" s="23" t="s">
        <v>351</v>
      </c>
      <c r="F34" s="33">
        <v>25</v>
      </c>
      <c r="G34" s="35">
        <f t="shared" si="3"/>
        <v>30</v>
      </c>
      <c r="H34" s="32" t="s">
        <v>84</v>
      </c>
      <c r="I34" s="33">
        <v>25</v>
      </c>
      <c r="J34" s="172"/>
      <c r="K34" s="25"/>
      <c r="L34" s="25"/>
      <c r="M34" s="25"/>
    </row>
    <row r="35" spans="1:13" x14ac:dyDescent="0.25">
      <c r="A35" s="29" t="s">
        <v>87</v>
      </c>
      <c r="B35" s="14" t="s">
        <v>88</v>
      </c>
      <c r="C35" s="18" t="s">
        <v>89</v>
      </c>
      <c r="D35" s="17" t="s">
        <v>90</v>
      </c>
      <c r="F35" s="34">
        <f>F31+F33</f>
        <v>69</v>
      </c>
      <c r="G35" s="35">
        <f t="shared" si="3"/>
        <v>31</v>
      </c>
      <c r="H35" s="29" t="s">
        <v>87</v>
      </c>
      <c r="I35" s="34">
        <v>68</v>
      </c>
      <c r="J35" s="172"/>
      <c r="K35" s="25"/>
      <c r="L35" s="25"/>
      <c r="M35" s="25"/>
    </row>
    <row r="36" spans="1:13" x14ac:dyDescent="0.25">
      <c r="A36" s="29" t="s">
        <v>91</v>
      </c>
      <c r="B36" s="14" t="s">
        <v>92</v>
      </c>
      <c r="C36" s="18" t="s">
        <v>93</v>
      </c>
      <c r="D36" s="8" t="s">
        <v>94</v>
      </c>
      <c r="F36" s="34">
        <f>+F33+F32</f>
        <v>198</v>
      </c>
      <c r="G36" s="35">
        <f t="shared" si="3"/>
        <v>32</v>
      </c>
      <c r="H36" s="29" t="s">
        <v>91</v>
      </c>
      <c r="I36" s="34">
        <v>193</v>
      </c>
      <c r="J36" s="172"/>
      <c r="K36" s="25"/>
      <c r="L36" s="25"/>
      <c r="M36" s="25"/>
    </row>
    <row r="37" spans="1:13" x14ac:dyDescent="0.25">
      <c r="A37" s="32" t="s">
        <v>95</v>
      </c>
      <c r="B37" s="14" t="s">
        <v>96</v>
      </c>
      <c r="C37" s="18" t="s">
        <v>97</v>
      </c>
      <c r="D37" s="8" t="s">
        <v>350</v>
      </c>
      <c r="F37" s="33">
        <f>+F34+F33</f>
        <v>77</v>
      </c>
      <c r="G37" s="35">
        <f t="shared" si="3"/>
        <v>33</v>
      </c>
      <c r="H37" s="32" t="s">
        <v>95</v>
      </c>
      <c r="I37" s="33">
        <v>76</v>
      </c>
      <c r="J37" s="172"/>
      <c r="K37" s="25"/>
      <c r="L37" s="25"/>
      <c r="M37" s="25"/>
    </row>
    <row r="38" spans="1:13" x14ac:dyDescent="0.25">
      <c r="A38" s="32" t="s">
        <v>98</v>
      </c>
      <c r="B38" s="14" t="s">
        <v>99</v>
      </c>
      <c r="C38" s="18" t="s">
        <v>100</v>
      </c>
      <c r="D38" s="17" t="s">
        <v>101</v>
      </c>
      <c r="F38" s="33">
        <f>+F34+F31</f>
        <v>42</v>
      </c>
      <c r="G38" s="35">
        <f t="shared" si="3"/>
        <v>34</v>
      </c>
      <c r="H38" s="32" t="s">
        <v>98</v>
      </c>
      <c r="I38" s="33">
        <v>42</v>
      </c>
      <c r="J38" s="172"/>
      <c r="K38" s="25"/>
      <c r="L38" s="25"/>
      <c r="M38" s="25"/>
    </row>
    <row r="39" spans="1:13" x14ac:dyDescent="0.25">
      <c r="A39" s="32" t="s">
        <v>102</v>
      </c>
      <c r="B39" s="14" t="s">
        <v>103</v>
      </c>
      <c r="C39" s="18" t="s">
        <v>104</v>
      </c>
      <c r="D39" s="8" t="s">
        <v>105</v>
      </c>
      <c r="F39" s="33">
        <f>+F34+F32</f>
        <v>171</v>
      </c>
      <c r="G39" s="35">
        <f t="shared" si="3"/>
        <v>35</v>
      </c>
      <c r="H39" s="32" t="s">
        <v>102</v>
      </c>
      <c r="I39" s="33">
        <v>167</v>
      </c>
      <c r="J39" s="172"/>
      <c r="K39" s="25"/>
      <c r="L39" s="25"/>
      <c r="M39" s="25"/>
    </row>
    <row r="40" spans="1:13" x14ac:dyDescent="0.25">
      <c r="A40" s="32" t="s">
        <v>106</v>
      </c>
      <c r="B40" s="14" t="s">
        <v>107</v>
      </c>
      <c r="C40" s="18" t="s">
        <v>108</v>
      </c>
      <c r="D40" s="17" t="s">
        <v>109</v>
      </c>
      <c r="F40" s="33">
        <f>+F31+F33+F34</f>
        <v>94</v>
      </c>
      <c r="G40" s="35">
        <f t="shared" si="3"/>
        <v>36</v>
      </c>
      <c r="H40" s="32" t="s">
        <v>106</v>
      </c>
      <c r="I40" s="33">
        <v>93</v>
      </c>
      <c r="J40" s="172"/>
      <c r="K40" s="25"/>
      <c r="L40" s="25"/>
      <c r="M40" s="25"/>
    </row>
    <row r="41" spans="1:13" x14ac:dyDescent="0.25">
      <c r="A41" s="32" t="s">
        <v>110</v>
      </c>
      <c r="B41" s="14" t="s">
        <v>111</v>
      </c>
      <c r="C41" s="18" t="s">
        <v>112</v>
      </c>
      <c r="D41" s="8" t="s">
        <v>113</v>
      </c>
      <c r="F41" s="33">
        <f>+F32+F33+F34</f>
        <v>223</v>
      </c>
      <c r="G41" s="35">
        <f t="shared" si="3"/>
        <v>37</v>
      </c>
      <c r="H41" s="32" t="s">
        <v>110</v>
      </c>
      <c r="I41" s="33">
        <v>218</v>
      </c>
      <c r="J41" s="172"/>
      <c r="K41" s="25"/>
      <c r="L41" s="25"/>
      <c r="M41" s="25"/>
    </row>
    <row r="42" spans="1:13" x14ac:dyDescent="0.25">
      <c r="A42" s="19"/>
      <c r="B42" s="19"/>
      <c r="F42" s="25"/>
      <c r="G42" s="35"/>
      <c r="H42" s="19"/>
      <c r="I42" s="25"/>
      <c r="J42" s="172"/>
      <c r="K42" s="25"/>
      <c r="L42" s="25"/>
      <c r="M42" s="25"/>
    </row>
    <row r="43" spans="1:13" x14ac:dyDescent="0.25">
      <c r="A43" s="19"/>
      <c r="B43" s="19"/>
      <c r="F43" s="25"/>
      <c r="G43" s="35"/>
      <c r="H43" s="19"/>
      <c r="I43" s="25"/>
      <c r="J43" s="172"/>
      <c r="K43" s="25"/>
      <c r="L43" s="25"/>
      <c r="M43" s="25"/>
    </row>
    <row r="44" spans="1:13" x14ac:dyDescent="0.25">
      <c r="F44" s="25"/>
      <c r="G44" s="35"/>
      <c r="I44" s="25"/>
      <c r="J44" s="172"/>
      <c r="K44" s="25"/>
      <c r="L44" s="25"/>
      <c r="M44" s="25"/>
    </row>
    <row r="45" spans="1:13" x14ac:dyDescent="0.25">
      <c r="A45" s="26" t="s">
        <v>114</v>
      </c>
      <c r="C45" s="11"/>
      <c r="F45" s="26" t="s">
        <v>114</v>
      </c>
      <c r="G45" s="35">
        <f>+G41+1</f>
        <v>38</v>
      </c>
      <c r="H45" s="26" t="s">
        <v>114</v>
      </c>
      <c r="I45" s="26" t="s">
        <v>114</v>
      </c>
      <c r="J45" s="172"/>
      <c r="K45" s="25"/>
      <c r="L45" s="25"/>
      <c r="M45" s="25"/>
    </row>
    <row r="46" spans="1:13" x14ac:dyDescent="0.25">
      <c r="A46" s="28" t="s">
        <v>115</v>
      </c>
      <c r="B46" s="14" t="s">
        <v>116</v>
      </c>
      <c r="C46" s="11" t="s">
        <v>19</v>
      </c>
      <c r="F46" s="34" t="s">
        <v>375</v>
      </c>
      <c r="G46" s="35">
        <f t="shared" si="3"/>
        <v>39</v>
      </c>
      <c r="H46" s="28" t="s">
        <v>115</v>
      </c>
      <c r="I46" s="34" t="s">
        <v>375</v>
      </c>
      <c r="J46" s="172"/>
      <c r="K46" s="25"/>
      <c r="L46" s="25"/>
      <c r="M46" s="25"/>
    </row>
    <row r="47" spans="1:13" x14ac:dyDescent="0.25">
      <c r="A47" s="29" t="s">
        <v>117</v>
      </c>
      <c r="B47" s="14" t="s">
        <v>118</v>
      </c>
      <c r="C47" s="7" t="s">
        <v>119</v>
      </c>
      <c r="D47" s="8" t="s">
        <v>120</v>
      </c>
      <c r="F47" s="34">
        <f t="shared" ref="F47:F50" si="9">ROUND(I47*(1+$J$2),0)</f>
        <v>35</v>
      </c>
      <c r="G47" s="35">
        <f t="shared" si="3"/>
        <v>40</v>
      </c>
      <c r="H47" s="29" t="s">
        <v>117</v>
      </c>
      <c r="I47" s="34">
        <v>34</v>
      </c>
      <c r="J47" s="172">
        <v>2.7E-2</v>
      </c>
      <c r="K47" s="25"/>
      <c r="L47" s="25"/>
      <c r="M47" s="25"/>
    </row>
    <row r="48" spans="1:13" x14ac:dyDescent="0.25">
      <c r="A48" s="30" t="s">
        <v>121</v>
      </c>
      <c r="B48" s="14" t="s">
        <v>122</v>
      </c>
      <c r="C48" s="7" t="s">
        <v>123</v>
      </c>
      <c r="D48" s="8" t="s">
        <v>124</v>
      </c>
      <c r="F48" s="34">
        <f t="shared" si="9"/>
        <v>70</v>
      </c>
      <c r="G48" s="35">
        <f t="shared" si="3"/>
        <v>41</v>
      </c>
      <c r="H48" s="30" t="s">
        <v>121</v>
      </c>
      <c r="I48" s="34">
        <v>68</v>
      </c>
      <c r="J48" s="172">
        <v>2.7E-2</v>
      </c>
      <c r="K48" s="25"/>
      <c r="L48" s="25"/>
      <c r="M48" s="25"/>
    </row>
    <row r="49" spans="1:20" x14ac:dyDescent="0.25">
      <c r="A49" s="35" t="s">
        <v>125</v>
      </c>
      <c r="B49" s="14" t="s">
        <v>126</v>
      </c>
      <c r="C49" s="7" t="s">
        <v>127</v>
      </c>
      <c r="F49" s="34">
        <f t="shared" si="9"/>
        <v>70</v>
      </c>
      <c r="G49" s="35">
        <f t="shared" si="3"/>
        <v>42</v>
      </c>
      <c r="H49" s="35" t="s">
        <v>125</v>
      </c>
      <c r="I49" s="34">
        <v>68</v>
      </c>
      <c r="J49" s="172">
        <v>2.7E-2</v>
      </c>
      <c r="K49" s="25"/>
      <c r="L49" s="25"/>
      <c r="M49" s="25"/>
    </row>
    <row r="50" spans="1:20" x14ac:dyDescent="0.25">
      <c r="A50" s="36" t="s">
        <v>128</v>
      </c>
      <c r="B50" s="14" t="s">
        <v>129</v>
      </c>
      <c r="C50" s="7" t="s">
        <v>130</v>
      </c>
      <c r="D50" s="8" t="s">
        <v>131</v>
      </c>
      <c r="F50" s="34">
        <f t="shared" si="9"/>
        <v>105</v>
      </c>
      <c r="G50" s="35">
        <f t="shared" si="3"/>
        <v>43</v>
      </c>
      <c r="H50" s="36" t="s">
        <v>128</v>
      </c>
      <c r="I50" s="34">
        <v>102</v>
      </c>
      <c r="J50" s="172">
        <v>2.7E-2</v>
      </c>
      <c r="K50" s="25"/>
      <c r="L50" s="25"/>
      <c r="M50" s="25"/>
    </row>
    <row r="51" spans="1:20" x14ac:dyDescent="0.25">
      <c r="C51" s="11"/>
      <c r="F51" s="25"/>
      <c r="G51" s="35"/>
      <c r="I51" s="25"/>
      <c r="J51" s="172"/>
      <c r="K51" s="25"/>
      <c r="L51" s="25"/>
      <c r="M51" s="25"/>
    </row>
    <row r="52" spans="1:20" x14ac:dyDescent="0.25">
      <c r="A52" s="26" t="s">
        <v>132</v>
      </c>
      <c r="F52" s="26" t="s">
        <v>132</v>
      </c>
      <c r="G52" s="35">
        <f>+G50+1</f>
        <v>44</v>
      </c>
      <c r="H52" s="26" t="s">
        <v>132</v>
      </c>
      <c r="I52" s="26" t="s">
        <v>132</v>
      </c>
      <c r="J52" s="172"/>
      <c r="K52" s="25"/>
      <c r="L52" s="25"/>
      <c r="M52" s="25"/>
    </row>
    <row r="53" spans="1:20" x14ac:dyDescent="0.25">
      <c r="A53" s="27" t="s">
        <v>133</v>
      </c>
      <c r="B53" s="14" t="s">
        <v>134</v>
      </c>
      <c r="C53" s="11" t="s">
        <v>19</v>
      </c>
      <c r="F53" s="34" t="s">
        <v>375</v>
      </c>
      <c r="G53" s="35">
        <f t="shared" si="3"/>
        <v>45</v>
      </c>
      <c r="H53" s="27" t="s">
        <v>133</v>
      </c>
      <c r="I53" s="34" t="s">
        <v>375</v>
      </c>
      <c r="J53" s="172"/>
      <c r="K53" s="25"/>
      <c r="L53" s="25"/>
      <c r="M53" s="25"/>
    </row>
    <row r="54" spans="1:20" x14ac:dyDescent="0.25">
      <c r="A54" s="27" t="s">
        <v>135</v>
      </c>
      <c r="B54" s="14" t="s">
        <v>136</v>
      </c>
      <c r="C54" s="7" t="s">
        <v>137</v>
      </c>
      <c r="D54" s="8" t="s">
        <v>138</v>
      </c>
      <c r="F54" s="34">
        <f t="shared" ref="F54:F57" si="10">ROUND(I54*(1+$J$2),0)</f>
        <v>222</v>
      </c>
      <c r="G54" s="35">
        <f t="shared" si="3"/>
        <v>46</v>
      </c>
      <c r="H54" s="27" t="s">
        <v>135</v>
      </c>
      <c r="I54" s="34">
        <v>216</v>
      </c>
      <c r="J54" s="172">
        <v>2.7E-2</v>
      </c>
      <c r="K54" s="25"/>
      <c r="L54" s="25"/>
      <c r="M54" s="25"/>
    </row>
    <row r="55" spans="1:20" x14ac:dyDescent="0.25">
      <c r="A55" s="27" t="s">
        <v>139</v>
      </c>
      <c r="B55" s="20" t="s">
        <v>140</v>
      </c>
      <c r="C55" s="7" t="s">
        <v>141</v>
      </c>
      <c r="F55" s="34">
        <f t="shared" si="10"/>
        <v>284</v>
      </c>
      <c r="G55" s="35">
        <f t="shared" si="3"/>
        <v>47</v>
      </c>
      <c r="H55" s="27" t="s">
        <v>139</v>
      </c>
      <c r="I55" s="34">
        <v>277</v>
      </c>
      <c r="J55" s="172">
        <v>2.7E-2</v>
      </c>
      <c r="K55" s="25"/>
      <c r="L55" s="25"/>
      <c r="M55" s="25"/>
    </row>
    <row r="56" spans="1:20" x14ac:dyDescent="0.25">
      <c r="A56" s="27" t="s">
        <v>142</v>
      </c>
      <c r="B56" s="14" t="s">
        <v>143</v>
      </c>
      <c r="C56" s="7" t="s">
        <v>144</v>
      </c>
      <c r="D56" s="8" t="s">
        <v>145</v>
      </c>
      <c r="F56" s="151">
        <f t="shared" si="10"/>
        <v>506</v>
      </c>
      <c r="G56" s="35">
        <f t="shared" si="3"/>
        <v>48</v>
      </c>
      <c r="H56" s="27" t="s">
        <v>142</v>
      </c>
      <c r="I56" s="151">
        <v>493</v>
      </c>
      <c r="J56" s="172">
        <v>2.7E-2</v>
      </c>
      <c r="K56" s="25"/>
      <c r="L56" s="25"/>
      <c r="M56" s="25"/>
    </row>
    <row r="57" spans="1:20" x14ac:dyDescent="0.25">
      <c r="A57" s="27" t="s">
        <v>146</v>
      </c>
      <c r="B57" s="14" t="s">
        <v>147</v>
      </c>
      <c r="C57" s="7" t="s">
        <v>148</v>
      </c>
      <c r="F57" s="151">
        <f t="shared" si="10"/>
        <v>511</v>
      </c>
      <c r="G57" s="35">
        <f t="shared" si="3"/>
        <v>49</v>
      </c>
      <c r="H57" s="27" t="s">
        <v>146</v>
      </c>
      <c r="I57" s="151">
        <v>498</v>
      </c>
      <c r="J57" s="172">
        <v>2.7E-2</v>
      </c>
      <c r="K57" s="25"/>
      <c r="L57" s="25"/>
      <c r="M57" s="25"/>
    </row>
    <row r="58" spans="1:20" x14ac:dyDescent="0.25">
      <c r="A58" s="37" t="s">
        <v>149</v>
      </c>
      <c r="B58" s="14" t="s">
        <v>150</v>
      </c>
      <c r="C58" s="7" t="s">
        <v>151</v>
      </c>
      <c r="F58" s="33">
        <f>ROUND(I58*(1+$J$58),0)</f>
        <v>593</v>
      </c>
      <c r="G58" s="35">
        <f t="shared" si="3"/>
        <v>50</v>
      </c>
      <c r="H58" s="37" t="s">
        <v>149</v>
      </c>
      <c r="I58" s="33">
        <v>539</v>
      </c>
      <c r="J58" s="174">
        <v>0.1</v>
      </c>
      <c r="K58" s="25"/>
      <c r="L58" s="25"/>
      <c r="M58" s="25"/>
      <c r="T58" t="s">
        <v>501</v>
      </c>
    </row>
    <row r="59" spans="1:20" x14ac:dyDescent="0.25">
      <c r="F59" s="25"/>
      <c r="G59" s="35"/>
      <c r="I59" s="25"/>
      <c r="J59" s="172"/>
      <c r="K59" s="25"/>
      <c r="L59" s="25"/>
      <c r="M59" s="25"/>
    </row>
    <row r="60" spans="1:20" x14ac:dyDescent="0.25">
      <c r="A60" s="26" t="s">
        <v>152</v>
      </c>
      <c r="F60" s="26" t="s">
        <v>152</v>
      </c>
      <c r="G60" s="35">
        <f>+G58+1</f>
        <v>51</v>
      </c>
      <c r="H60" s="26" t="s">
        <v>152</v>
      </c>
      <c r="I60" s="26" t="s">
        <v>152</v>
      </c>
      <c r="J60" s="172"/>
      <c r="K60" s="25"/>
      <c r="L60" s="25"/>
      <c r="M60" s="25"/>
    </row>
    <row r="61" spans="1:20" x14ac:dyDescent="0.25">
      <c r="A61" s="26" t="s">
        <v>153</v>
      </c>
      <c r="B61" s="14" t="s">
        <v>154</v>
      </c>
      <c r="C61" s="11" t="s">
        <v>19</v>
      </c>
      <c r="F61" s="34" t="s">
        <v>375</v>
      </c>
      <c r="G61" s="35">
        <f t="shared" si="3"/>
        <v>52</v>
      </c>
      <c r="H61" s="26" t="s">
        <v>153</v>
      </c>
      <c r="I61" s="34" t="s">
        <v>375</v>
      </c>
      <c r="J61" s="172"/>
      <c r="K61" s="25"/>
      <c r="L61" s="25"/>
      <c r="M61" s="25"/>
    </row>
    <row r="62" spans="1:20" x14ac:dyDescent="0.25">
      <c r="A62" s="26" t="s">
        <v>155</v>
      </c>
      <c r="B62" s="14" t="s">
        <v>156</v>
      </c>
      <c r="C62" s="7" t="s">
        <v>157</v>
      </c>
      <c r="E62" t="s">
        <v>366</v>
      </c>
      <c r="F62" s="34">
        <f t="shared" ref="F62:F64" si="11">ROUND(I62*(1+$J$2),0)</f>
        <v>24</v>
      </c>
      <c r="G62" s="35">
        <f t="shared" si="3"/>
        <v>53</v>
      </c>
      <c r="H62" s="26" t="s">
        <v>155</v>
      </c>
      <c r="I62" s="34">
        <v>23</v>
      </c>
      <c r="J62" s="172">
        <v>2.7E-2</v>
      </c>
      <c r="K62" s="25"/>
      <c r="L62" s="25"/>
      <c r="M62" s="25"/>
    </row>
    <row r="63" spans="1:20" x14ac:dyDescent="0.25">
      <c r="A63" s="32" t="s">
        <v>158</v>
      </c>
      <c r="B63" s="14" t="s">
        <v>159</v>
      </c>
      <c r="C63" s="7" t="s">
        <v>160</v>
      </c>
      <c r="F63" s="33">
        <f t="shared" si="11"/>
        <v>64</v>
      </c>
      <c r="G63" s="35">
        <f t="shared" si="3"/>
        <v>54</v>
      </c>
      <c r="H63" s="32" t="s">
        <v>158</v>
      </c>
      <c r="I63" s="33">
        <v>62</v>
      </c>
      <c r="J63" s="172">
        <v>2.7E-2</v>
      </c>
      <c r="K63" s="25"/>
      <c r="L63" s="25"/>
      <c r="M63" s="25"/>
    </row>
    <row r="64" spans="1:20" x14ac:dyDescent="0.25">
      <c r="A64" s="26" t="s">
        <v>161</v>
      </c>
      <c r="B64" s="14" t="s">
        <v>162</v>
      </c>
      <c r="C64" s="7" t="s">
        <v>163</v>
      </c>
      <c r="F64" s="34">
        <f t="shared" si="11"/>
        <v>11</v>
      </c>
      <c r="G64" s="35">
        <f t="shared" si="3"/>
        <v>55</v>
      </c>
      <c r="H64" s="26" t="s">
        <v>161</v>
      </c>
      <c r="I64" s="34">
        <v>11</v>
      </c>
      <c r="J64" s="172">
        <v>2.7E-2</v>
      </c>
      <c r="K64" s="25"/>
      <c r="L64" s="25"/>
      <c r="M64" s="25"/>
    </row>
    <row r="65" spans="1:13" x14ac:dyDescent="0.25">
      <c r="A65" s="32" t="s">
        <v>164</v>
      </c>
      <c r="B65" s="14" t="s">
        <v>165</v>
      </c>
      <c r="C65" s="18" t="s">
        <v>166</v>
      </c>
      <c r="F65" s="33">
        <f>F62+F63</f>
        <v>88</v>
      </c>
      <c r="G65" s="35">
        <f t="shared" si="3"/>
        <v>56</v>
      </c>
      <c r="H65" s="32" t="s">
        <v>164</v>
      </c>
      <c r="I65" s="33">
        <v>85</v>
      </c>
      <c r="J65" s="172">
        <v>2.7E-2</v>
      </c>
      <c r="K65" s="25"/>
      <c r="L65" s="25"/>
      <c r="M65" s="25"/>
    </row>
    <row r="66" spans="1:13" x14ac:dyDescent="0.25">
      <c r="A66" s="32" t="s">
        <v>167</v>
      </c>
      <c r="B66" s="14" t="s">
        <v>168</v>
      </c>
      <c r="C66" s="18" t="s">
        <v>169</v>
      </c>
      <c r="F66" s="33">
        <f>F63+F64</f>
        <v>75</v>
      </c>
      <c r="G66" s="35">
        <f t="shared" si="3"/>
        <v>57</v>
      </c>
      <c r="H66" s="32" t="s">
        <v>167</v>
      </c>
      <c r="I66" s="33">
        <v>73</v>
      </c>
      <c r="J66" s="172">
        <v>2.7E-2</v>
      </c>
      <c r="K66" s="25"/>
      <c r="L66" s="25"/>
      <c r="M66" s="25"/>
    </row>
    <row r="67" spans="1:13" x14ac:dyDescent="0.25">
      <c r="A67" s="26" t="s">
        <v>170</v>
      </c>
      <c r="B67" s="14" t="s">
        <v>171</v>
      </c>
      <c r="C67" s="18" t="s">
        <v>172</v>
      </c>
      <c r="F67" s="34">
        <f>F62+F64</f>
        <v>35</v>
      </c>
      <c r="G67" s="35">
        <f t="shared" si="3"/>
        <v>58</v>
      </c>
      <c r="H67" s="26" t="s">
        <v>170</v>
      </c>
      <c r="I67" s="34">
        <v>34</v>
      </c>
      <c r="J67" s="172">
        <v>2.7E-2</v>
      </c>
      <c r="K67" s="25"/>
      <c r="L67" s="25"/>
      <c r="M67" s="25"/>
    </row>
    <row r="68" spans="1:13" x14ac:dyDescent="0.25">
      <c r="A68" s="32" t="s">
        <v>173</v>
      </c>
      <c r="B68" s="14" t="s">
        <v>174</v>
      </c>
      <c r="C68" s="18" t="s">
        <v>175</v>
      </c>
      <c r="F68" s="33">
        <f>F62+F63+F64</f>
        <v>99</v>
      </c>
      <c r="G68" s="35">
        <f t="shared" si="3"/>
        <v>59</v>
      </c>
      <c r="H68" s="32" t="s">
        <v>173</v>
      </c>
      <c r="I68" s="33">
        <v>96</v>
      </c>
      <c r="J68" s="172">
        <v>2.7E-2</v>
      </c>
      <c r="K68" s="25"/>
      <c r="L68" s="25"/>
      <c r="M68" s="25"/>
    </row>
    <row r="69" spans="1:13" x14ac:dyDescent="0.25">
      <c r="F69" s="25"/>
      <c r="G69" s="35"/>
      <c r="I69" s="25"/>
      <c r="J69" s="172"/>
      <c r="K69" s="25"/>
      <c r="L69" s="25"/>
      <c r="M69" s="25"/>
    </row>
    <row r="70" spans="1:13" x14ac:dyDescent="0.25">
      <c r="A70" s="26" t="s">
        <v>176</v>
      </c>
      <c r="F70" s="34" t="s">
        <v>176</v>
      </c>
      <c r="G70" s="35">
        <f>+G68+1</f>
        <v>60</v>
      </c>
      <c r="H70" s="26" t="s">
        <v>176</v>
      </c>
      <c r="I70" s="34" t="s">
        <v>176</v>
      </c>
      <c r="J70" s="172"/>
      <c r="K70" s="25"/>
      <c r="L70" s="25" t="s">
        <v>378</v>
      </c>
      <c r="M70" s="25"/>
    </row>
    <row r="71" spans="1:13" x14ac:dyDescent="0.25">
      <c r="A71" s="26" t="s">
        <v>177</v>
      </c>
      <c r="B71" s="14" t="s">
        <v>178</v>
      </c>
      <c r="C71" s="11" t="s">
        <v>19</v>
      </c>
      <c r="F71" s="34" t="s">
        <v>375</v>
      </c>
      <c r="G71" s="35">
        <f t="shared" si="3"/>
        <v>61</v>
      </c>
      <c r="H71" s="26" t="s">
        <v>177</v>
      </c>
      <c r="I71" s="34" t="s">
        <v>375</v>
      </c>
      <c r="J71" s="172"/>
      <c r="K71" s="25"/>
      <c r="L71" s="25"/>
      <c r="M71" s="25"/>
    </row>
    <row r="72" spans="1:13" x14ac:dyDescent="0.25">
      <c r="A72" s="26" t="s">
        <v>179</v>
      </c>
      <c r="B72" s="14" t="s">
        <v>180</v>
      </c>
      <c r="C72" s="7" t="s">
        <v>181</v>
      </c>
      <c r="D72" s="8" t="s">
        <v>182</v>
      </c>
      <c r="F72" s="34">
        <f t="shared" ref="F72:F75" si="12">ROUND(I72*(1+$J$2),0)</f>
        <v>333</v>
      </c>
      <c r="G72" s="35">
        <f t="shared" ref="G72:G136" si="13">G71+1</f>
        <v>62</v>
      </c>
      <c r="H72" s="26" t="s">
        <v>179</v>
      </c>
      <c r="I72" s="34">
        <v>324</v>
      </c>
      <c r="J72" s="172">
        <v>2.7E-2</v>
      </c>
      <c r="K72" s="25"/>
      <c r="L72" s="25"/>
      <c r="M72" s="25"/>
    </row>
    <row r="73" spans="1:13" x14ac:dyDescent="0.25">
      <c r="A73" s="26" t="s">
        <v>183</v>
      </c>
      <c r="B73" s="14" t="s">
        <v>184</v>
      </c>
      <c r="C73" s="7" t="s">
        <v>185</v>
      </c>
      <c r="D73" s="8" t="s">
        <v>186</v>
      </c>
      <c r="F73" s="34">
        <f t="shared" si="12"/>
        <v>333</v>
      </c>
      <c r="G73" s="35">
        <f t="shared" si="13"/>
        <v>63</v>
      </c>
      <c r="H73" s="26" t="s">
        <v>183</v>
      </c>
      <c r="I73" s="34">
        <v>324</v>
      </c>
      <c r="J73" s="172">
        <v>2.7E-2</v>
      </c>
      <c r="K73" s="25"/>
      <c r="L73" s="25"/>
      <c r="M73" s="25"/>
    </row>
    <row r="74" spans="1:13" x14ac:dyDescent="0.25">
      <c r="A74" s="26" t="s">
        <v>187</v>
      </c>
      <c r="B74" s="14" t="s">
        <v>188</v>
      </c>
      <c r="C74" s="7" t="s">
        <v>189</v>
      </c>
      <c r="F74" s="34">
        <f t="shared" si="12"/>
        <v>401</v>
      </c>
      <c r="G74" s="35">
        <f t="shared" si="13"/>
        <v>64</v>
      </c>
      <c r="H74" s="26" t="s">
        <v>187</v>
      </c>
      <c r="I74" s="34">
        <v>390</v>
      </c>
      <c r="J74" s="172">
        <v>2.7E-2</v>
      </c>
      <c r="K74" s="25" t="s">
        <v>377</v>
      </c>
      <c r="L74" s="25"/>
      <c r="M74" s="25"/>
    </row>
    <row r="75" spans="1:13" x14ac:dyDescent="0.25">
      <c r="A75" s="26" t="s">
        <v>20</v>
      </c>
      <c r="B75" s="14" t="s">
        <v>190</v>
      </c>
      <c r="C75" s="7" t="s">
        <v>191</v>
      </c>
      <c r="F75" s="34">
        <f t="shared" si="12"/>
        <v>737</v>
      </c>
      <c r="G75" s="35">
        <f t="shared" si="13"/>
        <v>65</v>
      </c>
      <c r="H75" s="26" t="s">
        <v>20</v>
      </c>
      <c r="I75" s="34">
        <v>718</v>
      </c>
      <c r="J75" s="172">
        <v>2.7E-2</v>
      </c>
      <c r="K75" s="25"/>
      <c r="L75" s="25"/>
      <c r="M75" s="25"/>
    </row>
    <row r="76" spans="1:13" x14ac:dyDescent="0.25">
      <c r="A76" s="32" t="s">
        <v>22</v>
      </c>
      <c r="B76" s="14" t="s">
        <v>192</v>
      </c>
      <c r="C76" s="7" t="s">
        <v>193</v>
      </c>
      <c r="F76" s="33" t="s">
        <v>376</v>
      </c>
      <c r="G76" s="35">
        <f t="shared" si="13"/>
        <v>66</v>
      </c>
      <c r="H76" s="32" t="s">
        <v>22</v>
      </c>
      <c r="I76" s="33" t="s">
        <v>376</v>
      </c>
      <c r="J76" s="172">
        <v>2.7E-2</v>
      </c>
      <c r="K76" s="25"/>
      <c r="L76" s="25"/>
      <c r="M76" s="25"/>
    </row>
    <row r="77" spans="1:13" x14ac:dyDescent="0.25">
      <c r="A77" s="32" t="s">
        <v>194</v>
      </c>
      <c r="B77" s="14" t="s">
        <v>195</v>
      </c>
      <c r="C77" s="7" t="s">
        <v>196</v>
      </c>
      <c r="F77" s="33" t="s">
        <v>376</v>
      </c>
      <c r="G77" s="35">
        <f t="shared" si="13"/>
        <v>67</v>
      </c>
      <c r="H77" s="32" t="s">
        <v>194</v>
      </c>
      <c r="I77" s="33" t="s">
        <v>376</v>
      </c>
      <c r="J77" s="172">
        <v>2.7E-2</v>
      </c>
      <c r="K77" s="25"/>
      <c r="L77" s="25"/>
      <c r="M77" s="25"/>
    </row>
    <row r="78" spans="1:13" ht="15.75" x14ac:dyDescent="0.25">
      <c r="A78" s="21"/>
      <c r="B78" s="19"/>
      <c r="C78" s="11"/>
      <c r="F78" s="25"/>
      <c r="G78" s="35"/>
      <c r="H78" s="21"/>
      <c r="I78" s="25"/>
      <c r="J78" s="172"/>
      <c r="K78" s="25"/>
      <c r="L78" s="25"/>
      <c r="M78" s="25"/>
    </row>
    <row r="79" spans="1:13" x14ac:dyDescent="0.25">
      <c r="A79" s="35" t="s">
        <v>197</v>
      </c>
      <c r="B79" s="19"/>
      <c r="F79" s="35" t="s">
        <v>197</v>
      </c>
      <c r="G79" s="35">
        <f>+G77+1</f>
        <v>68</v>
      </c>
      <c r="H79" s="35" t="s">
        <v>197</v>
      </c>
      <c r="I79" s="35" t="s">
        <v>197</v>
      </c>
      <c r="J79" s="172"/>
      <c r="K79" s="25"/>
      <c r="L79" s="25"/>
      <c r="M79" s="25"/>
    </row>
    <row r="80" spans="1:13" x14ac:dyDescent="0.25">
      <c r="A80" s="26" t="s">
        <v>198</v>
      </c>
      <c r="B80" s="14" t="s">
        <v>199</v>
      </c>
      <c r="C80" s="11" t="s">
        <v>19</v>
      </c>
      <c r="F80" s="34" t="s">
        <v>375</v>
      </c>
      <c r="G80" s="35">
        <f t="shared" si="13"/>
        <v>69</v>
      </c>
      <c r="H80" s="26" t="s">
        <v>198</v>
      </c>
      <c r="I80" s="34" t="s">
        <v>375</v>
      </c>
      <c r="J80" s="172"/>
      <c r="K80" s="25"/>
      <c r="L80" s="25"/>
      <c r="M80" s="25"/>
    </row>
    <row r="81" spans="1:20" x14ac:dyDescent="0.25">
      <c r="A81" s="26" t="s">
        <v>200</v>
      </c>
      <c r="B81" s="14" t="s">
        <v>201</v>
      </c>
      <c r="C81" s="7" t="s">
        <v>202</v>
      </c>
      <c r="D81" s="8" t="s">
        <v>203</v>
      </c>
      <c r="F81" s="34">
        <f>ROUND(I81*(1+J81),0)</f>
        <v>237</v>
      </c>
      <c r="G81" s="35">
        <f t="shared" si="13"/>
        <v>70</v>
      </c>
      <c r="H81" s="26" t="s">
        <v>200</v>
      </c>
      <c r="I81" s="34">
        <v>237</v>
      </c>
      <c r="J81" s="175">
        <v>0</v>
      </c>
      <c r="K81" s="25"/>
      <c r="L81" s="25"/>
      <c r="M81" s="25"/>
      <c r="T81" t="s">
        <v>501</v>
      </c>
    </row>
    <row r="82" spans="1:20" x14ac:dyDescent="0.25">
      <c r="A82" s="26" t="s">
        <v>204</v>
      </c>
      <c r="B82" s="14" t="s">
        <v>205</v>
      </c>
      <c r="C82" s="7" t="s">
        <v>206</v>
      </c>
      <c r="D82" s="8" t="s">
        <v>207</v>
      </c>
      <c r="F82" s="34">
        <f t="shared" ref="F82:F83" si="14">ROUND(I82*(1+J82),0)</f>
        <v>559</v>
      </c>
      <c r="G82" s="35">
        <f t="shared" si="13"/>
        <v>71</v>
      </c>
      <c r="H82" s="26" t="s">
        <v>204</v>
      </c>
      <c r="I82" s="34">
        <v>508</v>
      </c>
      <c r="J82" s="175">
        <v>0.1</v>
      </c>
      <c r="K82" s="25"/>
      <c r="L82" s="25"/>
      <c r="M82" s="25"/>
      <c r="T82" t="s">
        <v>501</v>
      </c>
    </row>
    <row r="83" spans="1:20" x14ac:dyDescent="0.25">
      <c r="A83" s="26" t="s">
        <v>208</v>
      </c>
      <c r="B83" s="14" t="s">
        <v>209</v>
      </c>
      <c r="C83" s="22" t="s">
        <v>210</v>
      </c>
      <c r="D83" s="8" t="s">
        <v>211</v>
      </c>
      <c r="F83" s="34">
        <f t="shared" si="14"/>
        <v>820</v>
      </c>
      <c r="G83" s="35">
        <f t="shared" si="13"/>
        <v>72</v>
      </c>
      <c r="H83" s="26" t="s">
        <v>208</v>
      </c>
      <c r="I83" s="34">
        <v>745</v>
      </c>
      <c r="J83" s="175">
        <v>0.1</v>
      </c>
      <c r="K83" s="25"/>
      <c r="L83" s="25"/>
      <c r="M83" s="25"/>
      <c r="T83" t="s">
        <v>501</v>
      </c>
    </row>
    <row r="84" spans="1:20" x14ac:dyDescent="0.25">
      <c r="F84" s="25"/>
      <c r="G84" s="35"/>
      <c r="I84" s="25"/>
      <c r="J84" s="172"/>
      <c r="K84" s="25"/>
      <c r="L84" s="25"/>
      <c r="M84" s="25"/>
    </row>
    <row r="85" spans="1:20" x14ac:dyDescent="0.25">
      <c r="A85" s="35" t="s">
        <v>212</v>
      </c>
      <c r="F85" s="35" t="s">
        <v>212</v>
      </c>
      <c r="G85" s="35">
        <f>+G83+1</f>
        <v>73</v>
      </c>
      <c r="H85" s="35" t="s">
        <v>212</v>
      </c>
      <c r="I85" s="35" t="s">
        <v>212</v>
      </c>
      <c r="J85" s="172"/>
      <c r="K85" s="25"/>
      <c r="L85" s="25"/>
      <c r="M85" s="25"/>
    </row>
    <row r="86" spans="1:20" x14ac:dyDescent="0.25">
      <c r="A86" s="26" t="s">
        <v>213</v>
      </c>
      <c r="B86" s="14" t="s">
        <v>214</v>
      </c>
      <c r="C86" s="11" t="s">
        <v>19</v>
      </c>
      <c r="F86" s="34" t="s">
        <v>375</v>
      </c>
      <c r="G86" s="35">
        <f t="shared" si="13"/>
        <v>74</v>
      </c>
      <c r="H86" s="26" t="s">
        <v>213</v>
      </c>
      <c r="I86" s="34" t="s">
        <v>375</v>
      </c>
      <c r="J86" s="172"/>
      <c r="K86" s="25"/>
      <c r="L86" s="25"/>
      <c r="M86" s="25"/>
    </row>
    <row r="87" spans="1:20" x14ac:dyDescent="0.25">
      <c r="A87" s="26" t="s">
        <v>215</v>
      </c>
      <c r="B87" s="14" t="s">
        <v>216</v>
      </c>
      <c r="C87" s="7" t="s">
        <v>217</v>
      </c>
      <c r="F87" s="34">
        <f t="shared" ref="F87:F92" si="15">ROUND(I87*(1+$J$2),0)</f>
        <v>401</v>
      </c>
      <c r="G87" s="35">
        <f t="shared" si="13"/>
        <v>75</v>
      </c>
      <c r="H87" s="26" t="s">
        <v>215</v>
      </c>
      <c r="I87" s="34">
        <v>390</v>
      </c>
      <c r="J87" s="172">
        <v>2.7E-2</v>
      </c>
      <c r="K87" s="25"/>
      <c r="L87" s="25"/>
      <c r="M87" s="25"/>
    </row>
    <row r="88" spans="1:20" x14ac:dyDescent="0.25">
      <c r="A88" s="26" t="s">
        <v>218</v>
      </c>
      <c r="B88" s="14" t="s">
        <v>219</v>
      </c>
      <c r="C88" s="7" t="s">
        <v>220</v>
      </c>
      <c r="F88" s="34">
        <f t="shared" si="15"/>
        <v>358</v>
      </c>
      <c r="G88" s="35">
        <f t="shared" si="13"/>
        <v>76</v>
      </c>
      <c r="H88" s="26" t="s">
        <v>218</v>
      </c>
      <c r="I88" s="34">
        <v>349</v>
      </c>
      <c r="J88" s="172">
        <v>2.7E-2</v>
      </c>
      <c r="K88" s="25"/>
      <c r="L88" s="25"/>
      <c r="M88" s="25"/>
    </row>
    <row r="89" spans="1:20" x14ac:dyDescent="0.25">
      <c r="A89" s="26" t="s">
        <v>221</v>
      </c>
      <c r="B89" s="20" t="s">
        <v>222</v>
      </c>
      <c r="C89" s="7" t="s">
        <v>223</v>
      </c>
      <c r="D89" s="8" t="s">
        <v>224</v>
      </c>
      <c r="F89" s="34">
        <f t="shared" si="15"/>
        <v>297</v>
      </c>
      <c r="G89" s="35">
        <f t="shared" si="13"/>
        <v>77</v>
      </c>
      <c r="H89" s="26" t="s">
        <v>221</v>
      </c>
      <c r="I89" s="34">
        <v>289</v>
      </c>
      <c r="J89" s="172">
        <v>2.7E-2</v>
      </c>
      <c r="K89" s="25"/>
      <c r="L89" s="25"/>
      <c r="M89" s="25"/>
    </row>
    <row r="90" spans="1:20" x14ac:dyDescent="0.25">
      <c r="A90" s="26" t="s">
        <v>225</v>
      </c>
      <c r="B90" s="14" t="s">
        <v>226</v>
      </c>
      <c r="C90" s="7" t="s">
        <v>227</v>
      </c>
      <c r="D90" s="8" t="s">
        <v>228</v>
      </c>
      <c r="F90" s="34">
        <f t="shared" si="15"/>
        <v>870</v>
      </c>
      <c r="G90" s="35">
        <f t="shared" si="13"/>
        <v>78</v>
      </c>
      <c r="H90" s="26" t="s">
        <v>225</v>
      </c>
      <c r="I90" s="34">
        <v>847</v>
      </c>
      <c r="J90" s="172">
        <v>2.7E-2</v>
      </c>
      <c r="K90" s="25"/>
      <c r="L90" s="25"/>
      <c r="M90" s="25"/>
    </row>
    <row r="91" spans="1:20" x14ac:dyDescent="0.25">
      <c r="A91" s="26" t="s">
        <v>229</v>
      </c>
      <c r="B91" s="14" t="s">
        <v>230</v>
      </c>
      <c r="C91" s="7" t="s">
        <v>231</v>
      </c>
      <c r="F91" s="34">
        <f t="shared" si="15"/>
        <v>842</v>
      </c>
      <c r="G91" s="35">
        <f t="shared" si="13"/>
        <v>79</v>
      </c>
      <c r="H91" s="26" t="s">
        <v>229</v>
      </c>
      <c r="I91" s="34">
        <v>820</v>
      </c>
      <c r="J91" s="172">
        <v>2.7E-2</v>
      </c>
      <c r="K91" s="25"/>
      <c r="L91" s="25"/>
      <c r="M91" s="25"/>
    </row>
    <row r="92" spans="1:20" x14ac:dyDescent="0.25">
      <c r="A92" s="26" t="s">
        <v>232</v>
      </c>
      <c r="B92" s="14" t="s">
        <v>233</v>
      </c>
      <c r="C92" s="7" t="s">
        <v>234</v>
      </c>
      <c r="F92" s="34">
        <f t="shared" si="15"/>
        <v>174</v>
      </c>
      <c r="G92" s="35">
        <f t="shared" si="13"/>
        <v>80</v>
      </c>
      <c r="H92" s="26" t="s">
        <v>232</v>
      </c>
      <c r="I92" s="34">
        <v>169</v>
      </c>
      <c r="J92" s="172">
        <v>2.7E-2</v>
      </c>
      <c r="K92" s="25"/>
      <c r="L92" s="25"/>
      <c r="M92" s="25"/>
    </row>
    <row r="93" spans="1:20" x14ac:dyDescent="0.25">
      <c r="A93" s="26" t="s">
        <v>235</v>
      </c>
      <c r="B93" s="14" t="s">
        <v>236</v>
      </c>
      <c r="C93" s="7" t="s">
        <v>237</v>
      </c>
      <c r="D93" s="8" t="s">
        <v>461</v>
      </c>
      <c r="E93" s="8" t="s">
        <v>461</v>
      </c>
      <c r="F93" s="34">
        <v>1065</v>
      </c>
      <c r="G93" s="35">
        <f t="shared" si="13"/>
        <v>81</v>
      </c>
      <c r="H93" s="26" t="s">
        <v>235</v>
      </c>
      <c r="I93" s="34">
        <v>1065</v>
      </c>
      <c r="J93" s="172">
        <v>2.7E-2</v>
      </c>
      <c r="K93" s="25"/>
      <c r="L93" s="25"/>
      <c r="M93" s="25"/>
      <c r="T93" s="40" t="s">
        <v>502</v>
      </c>
    </row>
    <row r="94" spans="1:20" x14ac:dyDescent="0.25">
      <c r="A94" s="26" t="s">
        <v>238</v>
      </c>
      <c r="B94" s="14" t="s">
        <v>239</v>
      </c>
      <c r="C94" s="7" t="s">
        <v>240</v>
      </c>
      <c r="F94" s="34" t="s">
        <v>375</v>
      </c>
      <c r="G94" s="35">
        <f>G93+1</f>
        <v>82</v>
      </c>
      <c r="H94" s="26" t="s">
        <v>238</v>
      </c>
      <c r="I94" s="34" t="s">
        <v>375</v>
      </c>
      <c r="J94" s="172"/>
      <c r="K94" s="25"/>
      <c r="L94" s="25"/>
      <c r="M94" s="25"/>
    </row>
    <row r="95" spans="1:20" x14ac:dyDescent="0.25">
      <c r="A95" s="26" t="s">
        <v>538</v>
      </c>
      <c r="B95" s="14" t="s">
        <v>536</v>
      </c>
      <c r="C95" s="7" t="s">
        <v>537</v>
      </c>
      <c r="F95" s="193">
        <v>1350</v>
      </c>
      <c r="G95" s="194">
        <f>G94+1</f>
        <v>83</v>
      </c>
      <c r="H95" s="26" t="s">
        <v>538</v>
      </c>
      <c r="I95" s="34" t="s">
        <v>375</v>
      </c>
      <c r="J95" s="172"/>
      <c r="K95" s="25"/>
      <c r="L95" s="25"/>
      <c r="M95" s="25"/>
    </row>
    <row r="96" spans="1:20" x14ac:dyDescent="0.25">
      <c r="F96" s="25"/>
      <c r="G96" s="35"/>
      <c r="I96" s="25"/>
      <c r="J96" s="172"/>
      <c r="L96" s="25"/>
      <c r="M96" s="25"/>
    </row>
    <row r="97" spans="1:13" x14ac:dyDescent="0.25">
      <c r="A97" s="35" t="s">
        <v>241</v>
      </c>
      <c r="F97" s="35" t="s">
        <v>241</v>
      </c>
      <c r="G97" s="35">
        <f>+G95+1</f>
        <v>84</v>
      </c>
      <c r="H97" s="35" t="s">
        <v>241</v>
      </c>
      <c r="I97" s="35" t="s">
        <v>241</v>
      </c>
      <c r="J97" s="172"/>
      <c r="K97" s="25"/>
      <c r="L97" s="25"/>
      <c r="M97" s="25"/>
    </row>
    <row r="98" spans="1:13" x14ac:dyDescent="0.25">
      <c r="A98" s="26" t="s">
        <v>242</v>
      </c>
      <c r="B98" s="14" t="s">
        <v>243</v>
      </c>
      <c r="C98" s="11" t="s">
        <v>19</v>
      </c>
      <c r="F98" s="34" t="s">
        <v>375</v>
      </c>
      <c r="G98" s="35">
        <f t="shared" si="13"/>
        <v>85</v>
      </c>
      <c r="H98" s="26" t="s">
        <v>242</v>
      </c>
      <c r="I98" s="34" t="s">
        <v>375</v>
      </c>
      <c r="J98" s="172"/>
      <c r="K98" s="25"/>
      <c r="L98" s="25"/>
      <c r="M98" s="25"/>
    </row>
    <row r="99" spans="1:13" x14ac:dyDescent="0.25">
      <c r="A99" s="26" t="s">
        <v>244</v>
      </c>
      <c r="B99" s="14" t="s">
        <v>245</v>
      </c>
      <c r="C99" s="7" t="s">
        <v>246</v>
      </c>
      <c r="D99" s="8" t="s">
        <v>247</v>
      </c>
      <c r="F99" s="34">
        <f t="shared" ref="F99:F102" si="16">ROUND(I99*(1+$J$2),0)</f>
        <v>116</v>
      </c>
      <c r="G99" s="35">
        <f t="shared" si="13"/>
        <v>86</v>
      </c>
      <c r="H99" s="26" t="s">
        <v>244</v>
      </c>
      <c r="I99" s="34">
        <v>113</v>
      </c>
      <c r="J99" s="172">
        <v>2.7E-2</v>
      </c>
      <c r="K99" s="25"/>
      <c r="L99" s="25"/>
      <c r="M99" s="25"/>
    </row>
    <row r="100" spans="1:13" x14ac:dyDescent="0.25">
      <c r="A100" s="26" t="s">
        <v>248</v>
      </c>
      <c r="B100" s="14" t="s">
        <v>249</v>
      </c>
      <c r="C100" s="7" t="s">
        <v>250</v>
      </c>
      <c r="D100" s="8" t="s">
        <v>251</v>
      </c>
      <c r="F100" s="34">
        <f t="shared" si="16"/>
        <v>290</v>
      </c>
      <c r="G100" s="35">
        <f t="shared" si="13"/>
        <v>87</v>
      </c>
      <c r="H100" s="26" t="s">
        <v>248</v>
      </c>
      <c r="I100" s="34">
        <v>282</v>
      </c>
      <c r="J100" s="172">
        <v>2.7E-2</v>
      </c>
      <c r="K100" s="25"/>
      <c r="L100" s="25"/>
      <c r="M100" s="25"/>
    </row>
    <row r="101" spans="1:13" x14ac:dyDescent="0.25">
      <c r="A101" s="26" t="s">
        <v>252</v>
      </c>
      <c r="B101" s="14" t="s">
        <v>253</v>
      </c>
      <c r="C101" s="7" t="s">
        <v>254</v>
      </c>
      <c r="F101" s="34">
        <f t="shared" si="16"/>
        <v>162</v>
      </c>
      <c r="G101" s="35">
        <f t="shared" si="13"/>
        <v>88</v>
      </c>
      <c r="H101" s="26" t="s">
        <v>252</v>
      </c>
      <c r="I101" s="34">
        <v>158</v>
      </c>
      <c r="J101" s="172">
        <v>2.7E-2</v>
      </c>
      <c r="K101" s="25"/>
      <c r="L101" s="25"/>
      <c r="M101" s="25"/>
    </row>
    <row r="102" spans="1:13" x14ac:dyDescent="0.25">
      <c r="A102" s="26" t="s">
        <v>255</v>
      </c>
      <c r="B102" s="14" t="s">
        <v>256</v>
      </c>
      <c r="C102" s="7" t="s">
        <v>257</v>
      </c>
      <c r="F102" s="34">
        <f t="shared" si="16"/>
        <v>174</v>
      </c>
      <c r="G102" s="35">
        <f t="shared" si="13"/>
        <v>89</v>
      </c>
      <c r="H102" s="26" t="s">
        <v>255</v>
      </c>
      <c r="I102" s="34">
        <v>169</v>
      </c>
      <c r="J102" s="172">
        <v>2.7E-2</v>
      </c>
      <c r="K102" s="25"/>
      <c r="L102" s="25"/>
      <c r="M102" s="25"/>
    </row>
    <row r="103" spans="1:13" x14ac:dyDescent="0.25">
      <c r="F103" s="25"/>
      <c r="G103" s="35"/>
      <c r="I103" s="25"/>
      <c r="J103" s="172"/>
      <c r="K103" s="25"/>
      <c r="L103" s="25"/>
      <c r="M103" s="25"/>
    </row>
    <row r="104" spans="1:13" x14ac:dyDescent="0.25">
      <c r="A104" s="26" t="s">
        <v>258</v>
      </c>
      <c r="F104" s="26" t="s">
        <v>258</v>
      </c>
      <c r="G104" s="35">
        <f>+G102+1</f>
        <v>90</v>
      </c>
      <c r="H104" s="26" t="s">
        <v>258</v>
      </c>
      <c r="I104" s="26" t="s">
        <v>258</v>
      </c>
      <c r="J104" s="172"/>
      <c r="K104" s="25"/>
      <c r="L104" s="25"/>
      <c r="M104" s="25"/>
    </row>
    <row r="105" spans="1:13" x14ac:dyDescent="0.25">
      <c r="A105" s="27" t="s">
        <v>259</v>
      </c>
      <c r="B105" s="14" t="s">
        <v>260</v>
      </c>
      <c r="F105" s="26" t="s">
        <v>375</v>
      </c>
      <c r="G105" s="35">
        <f t="shared" si="13"/>
        <v>91</v>
      </c>
      <c r="H105" s="27" t="s">
        <v>259</v>
      </c>
      <c r="I105" s="26" t="s">
        <v>375</v>
      </c>
      <c r="J105" s="172"/>
      <c r="K105" s="25"/>
      <c r="L105" s="25"/>
      <c r="M105" s="25"/>
    </row>
    <row r="106" spans="1:13" x14ac:dyDescent="0.25">
      <c r="A106" s="27" t="s">
        <v>261</v>
      </c>
      <c r="B106" s="14" t="s">
        <v>262</v>
      </c>
      <c r="C106" s="6" t="s">
        <v>263</v>
      </c>
      <c r="D106" s="8" t="s">
        <v>264</v>
      </c>
      <c r="E106" t="s">
        <v>353</v>
      </c>
      <c r="F106" s="34">
        <f t="shared" ref="F106:F115" si="17">ROUND(I106*(1+$J$2),0)</f>
        <v>443</v>
      </c>
      <c r="G106" s="35">
        <f t="shared" si="13"/>
        <v>92</v>
      </c>
      <c r="H106" s="27" t="s">
        <v>261</v>
      </c>
      <c r="I106" s="34">
        <v>431</v>
      </c>
      <c r="J106" s="172">
        <v>2.7E-2</v>
      </c>
      <c r="K106">
        <v>416</v>
      </c>
      <c r="L106" s="25">
        <f>K106*1.1</f>
        <v>457.6</v>
      </c>
      <c r="M106" s="25"/>
    </row>
    <row r="107" spans="1:13" x14ac:dyDescent="0.25">
      <c r="A107" s="27" t="s">
        <v>265</v>
      </c>
      <c r="B107" s="14" t="s">
        <v>266</v>
      </c>
      <c r="C107" s="6" t="s">
        <v>267</v>
      </c>
      <c r="D107" s="8" t="s">
        <v>268</v>
      </c>
      <c r="E107" t="s">
        <v>354</v>
      </c>
      <c r="F107" s="34">
        <f t="shared" si="17"/>
        <v>443</v>
      </c>
      <c r="G107" s="35">
        <f t="shared" si="13"/>
        <v>93</v>
      </c>
      <c r="H107" s="27" t="s">
        <v>265</v>
      </c>
      <c r="I107" s="34">
        <v>431</v>
      </c>
      <c r="J107" s="172">
        <v>2.7E-2</v>
      </c>
      <c r="L107" s="25"/>
      <c r="M107" s="25"/>
    </row>
    <row r="108" spans="1:13" x14ac:dyDescent="0.25">
      <c r="A108" s="27" t="s">
        <v>269</v>
      </c>
      <c r="B108" s="14" t="s">
        <v>270</v>
      </c>
      <c r="C108" s="6" t="s">
        <v>271</v>
      </c>
      <c r="D108" s="8" t="s">
        <v>268</v>
      </c>
      <c r="E108" t="s">
        <v>355</v>
      </c>
      <c r="F108" s="34">
        <f t="shared" si="17"/>
        <v>250</v>
      </c>
      <c r="G108" s="35">
        <f t="shared" si="13"/>
        <v>94</v>
      </c>
      <c r="H108" s="27" t="s">
        <v>269</v>
      </c>
      <c r="I108" s="34">
        <v>243</v>
      </c>
      <c r="J108" s="172">
        <v>2.7E-2</v>
      </c>
      <c r="L108" s="25"/>
      <c r="M108" s="25"/>
    </row>
    <row r="109" spans="1:13" x14ac:dyDescent="0.25">
      <c r="A109" s="27" t="s">
        <v>272</v>
      </c>
      <c r="B109" s="14" t="s">
        <v>273</v>
      </c>
      <c r="C109" s="6" t="s">
        <v>274</v>
      </c>
      <c r="D109" s="8" t="s">
        <v>275</v>
      </c>
      <c r="E109" t="s">
        <v>356</v>
      </c>
      <c r="F109" s="34">
        <f t="shared" si="17"/>
        <v>443</v>
      </c>
      <c r="G109" s="35">
        <f t="shared" si="13"/>
        <v>95</v>
      </c>
      <c r="H109" s="27" t="s">
        <v>272</v>
      </c>
      <c r="I109" s="34">
        <v>431</v>
      </c>
      <c r="J109" s="172">
        <v>2.7E-2</v>
      </c>
      <c r="L109" s="25"/>
      <c r="M109" s="25"/>
    </row>
    <row r="110" spans="1:13" x14ac:dyDescent="0.25">
      <c r="A110" s="27" t="s">
        <v>276</v>
      </c>
      <c r="B110" s="14" t="s">
        <v>277</v>
      </c>
      <c r="C110" s="6" t="s">
        <v>278</v>
      </c>
      <c r="D110" s="8" t="s">
        <v>275</v>
      </c>
      <c r="E110" t="s">
        <v>357</v>
      </c>
      <c r="F110" s="34">
        <f t="shared" si="17"/>
        <v>443</v>
      </c>
      <c r="G110" s="35">
        <f t="shared" si="13"/>
        <v>96</v>
      </c>
      <c r="H110" s="27" t="s">
        <v>276</v>
      </c>
      <c r="I110" s="34">
        <v>431</v>
      </c>
      <c r="J110" s="172">
        <v>2.7E-2</v>
      </c>
      <c r="L110" s="25"/>
      <c r="M110" s="25"/>
    </row>
    <row r="111" spans="1:13" x14ac:dyDescent="0.25">
      <c r="A111" s="27" t="s">
        <v>279</v>
      </c>
      <c r="B111" s="14" t="s">
        <v>280</v>
      </c>
      <c r="C111" s="6" t="s">
        <v>281</v>
      </c>
      <c r="D111" s="8" t="s">
        <v>275</v>
      </c>
      <c r="E111" t="s">
        <v>358</v>
      </c>
      <c r="F111" s="34">
        <f t="shared" si="17"/>
        <v>250</v>
      </c>
      <c r="G111" s="35">
        <f t="shared" si="13"/>
        <v>97</v>
      </c>
      <c r="H111" s="27" t="s">
        <v>279</v>
      </c>
      <c r="I111" s="34">
        <v>243</v>
      </c>
      <c r="J111" s="172">
        <v>2.7E-2</v>
      </c>
      <c r="L111" s="25"/>
      <c r="M111" s="25"/>
    </row>
    <row r="112" spans="1:13" x14ac:dyDescent="0.25">
      <c r="A112" s="27" t="s">
        <v>282</v>
      </c>
      <c r="B112" s="14" t="s">
        <v>283</v>
      </c>
      <c r="C112" s="6" t="s">
        <v>284</v>
      </c>
      <c r="E112" t="s">
        <v>359</v>
      </c>
      <c r="F112" s="34">
        <f t="shared" si="17"/>
        <v>443</v>
      </c>
      <c r="G112" s="35">
        <f t="shared" si="13"/>
        <v>98</v>
      </c>
      <c r="H112" s="27" t="s">
        <v>282</v>
      </c>
      <c r="I112" s="34">
        <v>431</v>
      </c>
      <c r="J112" s="172">
        <v>2.7E-2</v>
      </c>
      <c r="L112" s="25"/>
      <c r="M112" s="25"/>
    </row>
    <row r="113" spans="1:13" x14ac:dyDescent="0.25">
      <c r="A113" s="27" t="s">
        <v>285</v>
      </c>
      <c r="B113" s="14" t="s">
        <v>286</v>
      </c>
      <c r="C113" s="6" t="s">
        <v>287</v>
      </c>
      <c r="E113" t="s">
        <v>360</v>
      </c>
      <c r="F113" s="34">
        <f t="shared" si="17"/>
        <v>443</v>
      </c>
      <c r="G113" s="35">
        <f t="shared" si="13"/>
        <v>99</v>
      </c>
      <c r="H113" s="27" t="s">
        <v>285</v>
      </c>
      <c r="I113" s="34">
        <v>431</v>
      </c>
      <c r="J113" s="172">
        <v>2.7E-2</v>
      </c>
      <c r="L113" s="25"/>
      <c r="M113" s="25"/>
    </row>
    <row r="114" spans="1:13" x14ac:dyDescent="0.25">
      <c r="A114" s="27" t="s">
        <v>288</v>
      </c>
      <c r="B114" s="14" t="s">
        <v>289</v>
      </c>
      <c r="C114" s="6" t="s">
        <v>290</v>
      </c>
      <c r="D114" s="8" t="s">
        <v>275</v>
      </c>
      <c r="E114" t="s">
        <v>361</v>
      </c>
      <c r="F114" s="34">
        <f t="shared" si="17"/>
        <v>514</v>
      </c>
      <c r="G114" s="35">
        <f t="shared" si="13"/>
        <v>100</v>
      </c>
      <c r="H114" s="27" t="s">
        <v>288</v>
      </c>
      <c r="I114" s="34">
        <v>500</v>
      </c>
      <c r="J114" s="172">
        <v>2.7E-2</v>
      </c>
      <c r="L114" s="25"/>
      <c r="M114" s="25"/>
    </row>
    <row r="115" spans="1:13" x14ac:dyDescent="0.25">
      <c r="A115" s="27" t="s">
        <v>291</v>
      </c>
      <c r="B115" s="14" t="s">
        <v>292</v>
      </c>
      <c r="C115" s="6" t="s">
        <v>293</v>
      </c>
      <c r="D115" s="8" t="s">
        <v>275</v>
      </c>
      <c r="E115" t="s">
        <v>362</v>
      </c>
      <c r="F115" s="34">
        <f t="shared" si="17"/>
        <v>514</v>
      </c>
      <c r="G115" s="35">
        <f t="shared" si="13"/>
        <v>101</v>
      </c>
      <c r="H115" s="27" t="s">
        <v>291</v>
      </c>
      <c r="I115" s="34">
        <v>500</v>
      </c>
      <c r="J115" s="172">
        <v>2.7E-2</v>
      </c>
      <c r="L115" s="25"/>
      <c r="M115" s="25"/>
    </row>
    <row r="116" spans="1:13" x14ac:dyDescent="0.25">
      <c r="F116" s="25"/>
      <c r="G116" s="35"/>
      <c r="I116" s="25"/>
      <c r="J116" s="172"/>
      <c r="K116" s="25"/>
      <c r="L116" s="25"/>
      <c r="M116" s="25"/>
    </row>
    <row r="117" spans="1:13" x14ac:dyDescent="0.25">
      <c r="A117" s="26" t="s">
        <v>294</v>
      </c>
      <c r="F117" s="26" t="s">
        <v>294</v>
      </c>
      <c r="G117" s="35">
        <f>+G115+1</f>
        <v>102</v>
      </c>
      <c r="H117" s="26" t="s">
        <v>294</v>
      </c>
      <c r="I117" s="26" t="s">
        <v>294</v>
      </c>
      <c r="J117" s="172"/>
      <c r="K117" s="25"/>
      <c r="L117" s="25"/>
      <c r="M117" s="25"/>
    </row>
    <row r="118" spans="1:13" x14ac:dyDescent="0.25">
      <c r="A118" s="27" t="s">
        <v>295</v>
      </c>
      <c r="B118" s="14" t="s">
        <v>296</v>
      </c>
      <c r="C118" s="11" t="s">
        <v>19</v>
      </c>
      <c r="F118" s="26" t="s">
        <v>375</v>
      </c>
      <c r="G118" s="35">
        <f t="shared" si="13"/>
        <v>103</v>
      </c>
      <c r="H118" s="27" t="s">
        <v>295</v>
      </c>
      <c r="I118" s="26" t="s">
        <v>375</v>
      </c>
      <c r="J118" s="172"/>
      <c r="K118" s="25"/>
      <c r="L118" s="25"/>
      <c r="M118" s="25"/>
    </row>
    <row r="119" spans="1:13" x14ac:dyDescent="0.25">
      <c r="A119" s="27" t="s">
        <v>297</v>
      </c>
      <c r="B119" s="14" t="s">
        <v>298</v>
      </c>
      <c r="C119" s="6" t="s">
        <v>453</v>
      </c>
      <c r="D119" s="8" t="s">
        <v>299</v>
      </c>
      <c r="E119" t="s">
        <v>367</v>
      </c>
      <c r="F119" s="34">
        <f t="shared" ref="F119:F121" si="18">ROUND(I119*(1+$J$2),0)</f>
        <v>17</v>
      </c>
      <c r="G119" s="35">
        <f t="shared" si="13"/>
        <v>104</v>
      </c>
      <c r="H119" s="27" t="s">
        <v>297</v>
      </c>
      <c r="I119" s="34">
        <v>17</v>
      </c>
      <c r="J119" s="172">
        <v>2.7E-2</v>
      </c>
      <c r="K119" s="25"/>
      <c r="L119" s="25"/>
      <c r="M119" s="25"/>
    </row>
    <row r="120" spans="1:13" x14ac:dyDescent="0.25">
      <c r="A120" s="27" t="s">
        <v>300</v>
      </c>
      <c r="B120" s="14" t="s">
        <v>301</v>
      </c>
      <c r="C120" s="18" t="s">
        <v>452</v>
      </c>
      <c r="E120" t="s">
        <v>368</v>
      </c>
      <c r="F120" s="34">
        <f t="shared" si="18"/>
        <v>30</v>
      </c>
      <c r="G120" s="35">
        <f t="shared" si="13"/>
        <v>105</v>
      </c>
      <c r="H120" s="27" t="s">
        <v>300</v>
      </c>
      <c r="I120" s="34">
        <v>29</v>
      </c>
      <c r="J120" s="172">
        <v>2.7E-2</v>
      </c>
      <c r="K120" s="25"/>
      <c r="L120" s="25"/>
      <c r="M120" s="25"/>
    </row>
    <row r="121" spans="1:13" x14ac:dyDescent="0.25">
      <c r="A121" s="27" t="s">
        <v>302</v>
      </c>
      <c r="B121" s="14" t="s">
        <v>303</v>
      </c>
      <c r="C121" s="18" t="s">
        <v>452</v>
      </c>
      <c r="E121" t="s">
        <v>369</v>
      </c>
      <c r="F121" s="34">
        <f t="shared" si="18"/>
        <v>30</v>
      </c>
      <c r="G121" s="35">
        <f t="shared" si="13"/>
        <v>106</v>
      </c>
      <c r="H121" s="27" t="s">
        <v>302</v>
      </c>
      <c r="I121" s="34">
        <v>29</v>
      </c>
      <c r="J121" s="172">
        <v>2.7E-2</v>
      </c>
      <c r="K121" s="25"/>
      <c r="L121" s="25"/>
      <c r="M121" s="25"/>
    </row>
    <row r="122" spans="1:13" x14ac:dyDescent="0.25">
      <c r="F122" s="25"/>
      <c r="G122" s="35"/>
      <c r="I122" s="25"/>
      <c r="J122" s="172"/>
      <c r="K122" s="25"/>
      <c r="L122" s="25"/>
      <c r="M122" s="25"/>
    </row>
    <row r="123" spans="1:13" x14ac:dyDescent="0.25">
      <c r="A123" s="26" t="s">
        <v>304</v>
      </c>
      <c r="C123" s="11"/>
      <c r="F123" s="26" t="s">
        <v>304</v>
      </c>
      <c r="G123" s="35">
        <f>+G121+1</f>
        <v>107</v>
      </c>
      <c r="H123" s="26" t="s">
        <v>304</v>
      </c>
      <c r="I123" s="26" t="s">
        <v>304</v>
      </c>
      <c r="J123" s="172"/>
      <c r="K123" s="25"/>
      <c r="L123" s="25"/>
      <c r="M123" s="25"/>
    </row>
    <row r="124" spans="1:13" x14ac:dyDescent="0.25">
      <c r="A124" s="26" t="s">
        <v>305</v>
      </c>
      <c r="B124" s="14" t="s">
        <v>306</v>
      </c>
      <c r="C124" s="11" t="s">
        <v>19</v>
      </c>
      <c r="F124" s="26" t="s">
        <v>375</v>
      </c>
      <c r="G124" s="35">
        <f t="shared" si="13"/>
        <v>108</v>
      </c>
      <c r="H124" s="26" t="s">
        <v>305</v>
      </c>
      <c r="I124" s="26" t="s">
        <v>375</v>
      </c>
      <c r="J124" s="172"/>
      <c r="K124" s="25"/>
      <c r="L124" s="25"/>
      <c r="M124" s="25"/>
    </row>
    <row r="125" spans="1:13" x14ac:dyDescent="0.25">
      <c r="A125" s="26" t="s">
        <v>307</v>
      </c>
      <c r="B125" s="14" t="s">
        <v>308</v>
      </c>
      <c r="C125" s="7" t="s">
        <v>309</v>
      </c>
      <c r="D125" s="8" t="s">
        <v>310</v>
      </c>
      <c r="E125" t="s">
        <v>370</v>
      </c>
      <c r="F125" s="34">
        <f>ROUND(I125*(1+$J$2),0)</f>
        <v>229</v>
      </c>
      <c r="G125" s="35">
        <f t="shared" si="13"/>
        <v>109</v>
      </c>
      <c r="H125" s="26" t="s">
        <v>307</v>
      </c>
      <c r="I125" s="34">
        <v>223</v>
      </c>
      <c r="J125" s="172">
        <v>2.7E-2</v>
      </c>
      <c r="K125" s="25"/>
      <c r="L125" s="25"/>
      <c r="M125" s="25"/>
    </row>
    <row r="126" spans="1:13" x14ac:dyDescent="0.25">
      <c r="A126" s="12" t="s">
        <v>311</v>
      </c>
      <c r="B126" s="14" t="s">
        <v>312</v>
      </c>
      <c r="C126" s="6" t="s">
        <v>313</v>
      </c>
      <c r="D126" s="8" t="s">
        <v>314</v>
      </c>
      <c r="E126" t="s">
        <v>371</v>
      </c>
      <c r="F126" s="33" t="s">
        <v>375</v>
      </c>
      <c r="G126" s="35">
        <f t="shared" si="13"/>
        <v>110</v>
      </c>
      <c r="H126" s="12" t="s">
        <v>311</v>
      </c>
      <c r="I126" s="33"/>
      <c r="J126" s="172">
        <v>2.7E-2</v>
      </c>
      <c r="K126" s="25"/>
      <c r="L126" s="25"/>
      <c r="M126" s="25"/>
    </row>
    <row r="127" spans="1:13" x14ac:dyDescent="0.25">
      <c r="F127" s="25"/>
      <c r="G127" s="35"/>
      <c r="I127" s="25"/>
      <c r="J127" s="35"/>
      <c r="K127" s="25"/>
      <c r="L127" s="25"/>
      <c r="M127" s="25"/>
    </row>
    <row r="128" spans="1:13" x14ac:dyDescent="0.25">
      <c r="A128" s="26" t="s">
        <v>315</v>
      </c>
      <c r="F128" s="26" t="s">
        <v>315</v>
      </c>
      <c r="G128" s="35">
        <f>+G126+1</f>
        <v>111</v>
      </c>
      <c r="H128" s="26" t="s">
        <v>315</v>
      </c>
      <c r="I128" s="26" t="s">
        <v>315</v>
      </c>
      <c r="J128" s="35"/>
      <c r="K128" s="25"/>
      <c r="L128" s="25"/>
      <c r="M128" s="25"/>
    </row>
    <row r="129" spans="1:13" ht="15.6" customHeight="1" x14ac:dyDescent="0.25">
      <c r="A129" s="26" t="s">
        <v>316</v>
      </c>
      <c r="B129" t="s">
        <v>317</v>
      </c>
      <c r="C129" s="11" t="s">
        <v>19</v>
      </c>
      <c r="F129" s="26" t="s">
        <v>375</v>
      </c>
      <c r="G129" s="35">
        <f t="shared" si="13"/>
        <v>112</v>
      </c>
      <c r="H129" s="26" t="s">
        <v>316</v>
      </c>
      <c r="I129" s="26" t="s">
        <v>375</v>
      </c>
      <c r="J129" s="35"/>
      <c r="K129" s="25"/>
      <c r="L129" s="25"/>
      <c r="M129" s="25"/>
    </row>
    <row r="130" spans="1:13" x14ac:dyDescent="0.25">
      <c r="A130" s="26" t="s">
        <v>318</v>
      </c>
      <c r="B130" t="s">
        <v>319</v>
      </c>
      <c r="C130" s="11" t="s">
        <v>19</v>
      </c>
      <c r="F130" s="26" t="s">
        <v>375</v>
      </c>
      <c r="G130" s="35">
        <f t="shared" si="13"/>
        <v>113</v>
      </c>
      <c r="H130" s="26" t="s">
        <v>318</v>
      </c>
      <c r="I130" s="26" t="s">
        <v>375</v>
      </c>
      <c r="J130" s="35"/>
      <c r="K130" s="25"/>
      <c r="L130" s="25"/>
      <c r="M130" s="25"/>
    </row>
    <row r="131" spans="1:13" x14ac:dyDescent="0.25">
      <c r="A131" s="26" t="s">
        <v>84</v>
      </c>
      <c r="B131" t="s">
        <v>320</v>
      </c>
      <c r="C131" s="11" t="s">
        <v>19</v>
      </c>
      <c r="F131" s="26" t="s">
        <v>375</v>
      </c>
      <c r="G131" s="35">
        <f t="shared" si="13"/>
        <v>114</v>
      </c>
      <c r="H131" s="26" t="s">
        <v>84</v>
      </c>
      <c r="I131" s="26" t="s">
        <v>375</v>
      </c>
      <c r="J131" s="35"/>
      <c r="K131" s="25"/>
      <c r="L131" s="25"/>
      <c r="M131" s="25"/>
    </row>
    <row r="132" spans="1:13" x14ac:dyDescent="0.25">
      <c r="A132" s="26" t="s">
        <v>321</v>
      </c>
      <c r="B132" t="s">
        <v>322</v>
      </c>
      <c r="C132" s="11" t="s">
        <v>19</v>
      </c>
      <c r="F132" s="26" t="s">
        <v>375</v>
      </c>
      <c r="G132" s="35">
        <f t="shared" si="13"/>
        <v>115</v>
      </c>
      <c r="H132" s="26" t="s">
        <v>321</v>
      </c>
      <c r="I132" s="26" t="s">
        <v>375</v>
      </c>
      <c r="J132" s="35"/>
      <c r="K132" s="25"/>
      <c r="L132" s="25"/>
      <c r="M132" s="25"/>
    </row>
    <row r="133" spans="1:13" x14ac:dyDescent="0.25">
      <c r="A133" s="26" t="s">
        <v>323</v>
      </c>
      <c r="B133" t="s">
        <v>324</v>
      </c>
      <c r="C133" s="11" t="s">
        <v>19</v>
      </c>
      <c r="F133" s="26" t="s">
        <v>375</v>
      </c>
      <c r="G133" s="35">
        <f t="shared" si="13"/>
        <v>116</v>
      </c>
      <c r="H133" s="26" t="s">
        <v>323</v>
      </c>
      <c r="I133" s="26" t="s">
        <v>375</v>
      </c>
      <c r="J133" s="35"/>
      <c r="K133" s="25"/>
      <c r="L133" s="25"/>
      <c r="M133" s="25"/>
    </row>
    <row r="134" spans="1:13" x14ac:dyDescent="0.25">
      <c r="A134" s="26" t="s">
        <v>115</v>
      </c>
      <c r="B134" t="s">
        <v>325</v>
      </c>
      <c r="C134" s="11" t="s">
        <v>19</v>
      </c>
      <c r="F134" s="26" t="s">
        <v>375</v>
      </c>
      <c r="G134" s="35">
        <f t="shared" si="13"/>
        <v>117</v>
      </c>
      <c r="H134" s="26" t="s">
        <v>115</v>
      </c>
      <c r="I134" s="26" t="s">
        <v>375</v>
      </c>
      <c r="J134" s="35"/>
      <c r="K134" s="25"/>
      <c r="L134" s="25"/>
      <c r="M134" s="25"/>
    </row>
    <row r="135" spans="1:13" x14ac:dyDescent="0.25">
      <c r="A135" s="26" t="s">
        <v>484</v>
      </c>
      <c r="B135" t="s">
        <v>326</v>
      </c>
      <c r="C135" s="11" t="s">
        <v>19</v>
      </c>
      <c r="F135" s="26" t="s">
        <v>375</v>
      </c>
      <c r="G135" s="35">
        <f t="shared" si="13"/>
        <v>118</v>
      </c>
      <c r="H135" s="26" t="s">
        <v>484</v>
      </c>
      <c r="I135" s="26" t="s">
        <v>375</v>
      </c>
      <c r="J135" s="35"/>
      <c r="K135" s="25"/>
      <c r="L135" s="25"/>
      <c r="M135" s="25"/>
    </row>
    <row r="136" spans="1:13" x14ac:dyDescent="0.25">
      <c r="A136" s="26" t="s">
        <v>7</v>
      </c>
      <c r="B136" t="s">
        <v>327</v>
      </c>
      <c r="C136" s="11" t="s">
        <v>19</v>
      </c>
      <c r="F136" s="26" t="s">
        <v>375</v>
      </c>
      <c r="G136" s="35">
        <f t="shared" si="13"/>
        <v>119</v>
      </c>
      <c r="H136" s="26" t="s">
        <v>7</v>
      </c>
      <c r="I136" s="26" t="s">
        <v>375</v>
      </c>
      <c r="J136" s="35"/>
      <c r="K136" s="25"/>
      <c r="L136" s="25"/>
      <c r="M136" s="25"/>
    </row>
    <row r="137" spans="1:13" x14ac:dyDescent="0.25">
      <c r="A137" s="26" t="s">
        <v>485</v>
      </c>
      <c r="B137" t="s">
        <v>328</v>
      </c>
      <c r="C137" s="11" t="s">
        <v>19</v>
      </c>
      <c r="F137" s="26" t="s">
        <v>375</v>
      </c>
      <c r="G137" s="35">
        <f t="shared" ref="G137:G155" si="19">G136+1</f>
        <v>120</v>
      </c>
      <c r="H137" s="26" t="s">
        <v>485</v>
      </c>
      <c r="I137" s="26" t="s">
        <v>375</v>
      </c>
      <c r="J137" s="35"/>
      <c r="K137" s="25"/>
      <c r="L137" s="25"/>
      <c r="M137" s="25"/>
    </row>
    <row r="138" spans="1:13" x14ac:dyDescent="0.25">
      <c r="A138" s="26" t="s">
        <v>486</v>
      </c>
      <c r="B138" t="s">
        <v>329</v>
      </c>
      <c r="C138" s="11" t="s">
        <v>19</v>
      </c>
      <c r="F138" s="26" t="s">
        <v>375</v>
      </c>
      <c r="G138" s="35">
        <f t="shared" si="19"/>
        <v>121</v>
      </c>
      <c r="H138" s="26" t="s">
        <v>486</v>
      </c>
      <c r="I138" s="26" t="s">
        <v>375</v>
      </c>
      <c r="J138" s="35"/>
      <c r="K138" s="25"/>
      <c r="L138" s="25"/>
      <c r="M138" s="25"/>
    </row>
    <row r="139" spans="1:13" x14ac:dyDescent="0.25">
      <c r="A139" s="26" t="s">
        <v>487</v>
      </c>
      <c r="B139" t="s">
        <v>330</v>
      </c>
      <c r="C139" s="11" t="s">
        <v>19</v>
      </c>
      <c r="F139" s="26" t="s">
        <v>375</v>
      </c>
      <c r="G139" s="35">
        <f t="shared" si="19"/>
        <v>122</v>
      </c>
      <c r="H139" s="26" t="s">
        <v>487</v>
      </c>
      <c r="I139" s="26" t="s">
        <v>375</v>
      </c>
      <c r="J139" s="35"/>
      <c r="K139" s="25"/>
      <c r="L139" s="25"/>
      <c r="M139" s="25"/>
    </row>
    <row r="140" spans="1:13" x14ac:dyDescent="0.25">
      <c r="A140" s="26" t="s">
        <v>488</v>
      </c>
      <c r="B140" t="s">
        <v>331</v>
      </c>
      <c r="C140" s="11" t="s">
        <v>19</v>
      </c>
      <c r="F140" s="26" t="s">
        <v>375</v>
      </c>
      <c r="G140" s="35">
        <f t="shared" si="19"/>
        <v>123</v>
      </c>
      <c r="H140" s="26" t="s">
        <v>488</v>
      </c>
      <c r="I140" s="26" t="s">
        <v>375</v>
      </c>
      <c r="J140" s="35"/>
      <c r="K140" s="25"/>
      <c r="L140" s="25"/>
      <c r="M140" s="25"/>
    </row>
    <row r="141" spans="1:13" x14ac:dyDescent="0.25">
      <c r="A141" s="26" t="s">
        <v>489</v>
      </c>
      <c r="B141" t="s">
        <v>332</v>
      </c>
      <c r="C141" s="11" t="s">
        <v>19</v>
      </c>
      <c r="F141" s="26" t="s">
        <v>375</v>
      </c>
      <c r="G141" s="35">
        <f t="shared" si="19"/>
        <v>124</v>
      </c>
      <c r="H141" s="26" t="s">
        <v>489</v>
      </c>
      <c r="I141" s="26" t="s">
        <v>375</v>
      </c>
      <c r="J141" s="35"/>
      <c r="K141" s="25"/>
      <c r="L141" s="25"/>
      <c r="M141" s="25"/>
    </row>
    <row r="142" spans="1:13" x14ac:dyDescent="0.25">
      <c r="A142" s="26" t="s">
        <v>490</v>
      </c>
      <c r="B142" t="s">
        <v>333</v>
      </c>
      <c r="C142" s="11" t="s">
        <v>19</v>
      </c>
      <c r="F142" s="26" t="s">
        <v>375</v>
      </c>
      <c r="G142" s="35">
        <f t="shared" si="19"/>
        <v>125</v>
      </c>
      <c r="H142" s="26" t="s">
        <v>490</v>
      </c>
      <c r="I142" s="26" t="s">
        <v>375</v>
      </c>
      <c r="J142" s="35"/>
      <c r="K142" s="25"/>
      <c r="L142" s="25"/>
      <c r="M142" s="25"/>
    </row>
    <row r="143" spans="1:13" x14ac:dyDescent="0.25">
      <c r="A143" s="26" t="s">
        <v>491</v>
      </c>
      <c r="B143" t="s">
        <v>334</v>
      </c>
      <c r="C143" s="11" t="s">
        <v>19</v>
      </c>
      <c r="F143" s="26" t="s">
        <v>375</v>
      </c>
      <c r="G143" s="35">
        <f t="shared" si="19"/>
        <v>126</v>
      </c>
      <c r="H143" s="26" t="s">
        <v>491</v>
      </c>
      <c r="I143" s="26" t="s">
        <v>375</v>
      </c>
      <c r="J143" s="35"/>
      <c r="K143" s="25"/>
      <c r="L143" s="25"/>
      <c r="M143" s="25"/>
    </row>
    <row r="144" spans="1:13" x14ac:dyDescent="0.25">
      <c r="A144" s="26" t="s">
        <v>492</v>
      </c>
      <c r="B144" t="s">
        <v>335</v>
      </c>
      <c r="C144" s="11" t="s">
        <v>19</v>
      </c>
      <c r="F144" s="26" t="s">
        <v>375</v>
      </c>
      <c r="G144" s="35">
        <f t="shared" si="19"/>
        <v>127</v>
      </c>
      <c r="H144" s="26" t="s">
        <v>492</v>
      </c>
      <c r="I144" s="26" t="s">
        <v>375</v>
      </c>
      <c r="J144" s="35"/>
      <c r="K144" s="25"/>
      <c r="L144" s="25"/>
      <c r="M144" s="25"/>
    </row>
    <row r="145" spans="1:13" x14ac:dyDescent="0.25">
      <c r="A145" s="26" t="s">
        <v>493</v>
      </c>
      <c r="B145" t="s">
        <v>336</v>
      </c>
      <c r="C145" s="11" t="s">
        <v>19</v>
      </c>
      <c r="F145" s="26" t="s">
        <v>375</v>
      </c>
      <c r="G145" s="35">
        <f t="shared" si="19"/>
        <v>128</v>
      </c>
      <c r="H145" s="26" t="s">
        <v>493</v>
      </c>
      <c r="I145" s="26" t="s">
        <v>375</v>
      </c>
      <c r="J145" s="35"/>
      <c r="K145" s="25"/>
      <c r="L145" s="25"/>
      <c r="M145" s="25"/>
    </row>
    <row r="146" spans="1:13" x14ac:dyDescent="0.25">
      <c r="A146" s="26" t="s">
        <v>494</v>
      </c>
      <c r="B146" t="s">
        <v>337</v>
      </c>
      <c r="C146" s="11" t="s">
        <v>19</v>
      </c>
      <c r="F146" s="26" t="s">
        <v>375</v>
      </c>
      <c r="G146" s="35">
        <f t="shared" si="19"/>
        <v>129</v>
      </c>
      <c r="H146" s="26" t="s">
        <v>494</v>
      </c>
      <c r="I146" s="26" t="s">
        <v>375</v>
      </c>
      <c r="J146" s="35"/>
      <c r="K146" s="25"/>
      <c r="L146" s="25"/>
      <c r="M146" s="25"/>
    </row>
    <row r="147" spans="1:13" x14ac:dyDescent="0.25">
      <c r="A147" s="26" t="s">
        <v>495</v>
      </c>
      <c r="B147" t="s">
        <v>338</v>
      </c>
      <c r="C147" s="11" t="s">
        <v>19</v>
      </c>
      <c r="F147" s="26" t="s">
        <v>375</v>
      </c>
      <c r="G147" s="35">
        <f t="shared" si="19"/>
        <v>130</v>
      </c>
      <c r="H147" s="26" t="s">
        <v>495</v>
      </c>
      <c r="I147" s="26" t="s">
        <v>375</v>
      </c>
      <c r="J147" s="35"/>
      <c r="K147" s="25"/>
      <c r="L147" s="25"/>
      <c r="M147" s="25"/>
    </row>
    <row r="148" spans="1:13" x14ac:dyDescent="0.25">
      <c r="A148" s="26" t="s">
        <v>496</v>
      </c>
      <c r="B148" t="s">
        <v>339</v>
      </c>
      <c r="C148" s="11" t="s">
        <v>19</v>
      </c>
      <c r="F148" s="26" t="s">
        <v>375</v>
      </c>
      <c r="G148" s="35">
        <f t="shared" si="19"/>
        <v>131</v>
      </c>
      <c r="H148" s="26" t="s">
        <v>496</v>
      </c>
      <c r="I148" s="26" t="s">
        <v>375</v>
      </c>
      <c r="J148" s="35"/>
      <c r="K148" s="25"/>
      <c r="L148" s="25"/>
      <c r="M148" s="25"/>
    </row>
    <row r="149" spans="1:13" x14ac:dyDescent="0.25">
      <c r="A149" s="26" t="s">
        <v>497</v>
      </c>
      <c r="B149" t="s">
        <v>340</v>
      </c>
      <c r="C149" s="11" t="s">
        <v>19</v>
      </c>
      <c r="F149" s="26" t="s">
        <v>375</v>
      </c>
      <c r="G149" s="35">
        <f t="shared" si="19"/>
        <v>132</v>
      </c>
      <c r="H149" s="26" t="s">
        <v>497</v>
      </c>
      <c r="I149" s="26" t="s">
        <v>375</v>
      </c>
      <c r="J149" s="35"/>
      <c r="K149" s="25"/>
      <c r="L149" s="25"/>
      <c r="M149" s="25"/>
    </row>
    <row r="150" spans="1:13" x14ac:dyDescent="0.25">
      <c r="A150" s="26" t="s">
        <v>498</v>
      </c>
      <c r="B150" t="s">
        <v>341</v>
      </c>
      <c r="C150" s="11" t="s">
        <v>19</v>
      </c>
      <c r="F150" s="26" t="s">
        <v>375</v>
      </c>
      <c r="G150" s="35">
        <f t="shared" si="19"/>
        <v>133</v>
      </c>
      <c r="H150" s="26" t="s">
        <v>498</v>
      </c>
      <c r="I150" s="26" t="s">
        <v>375</v>
      </c>
      <c r="J150" s="35"/>
      <c r="K150" s="25"/>
      <c r="L150" s="25"/>
      <c r="M150" s="25"/>
    </row>
    <row r="151" spans="1:13" x14ac:dyDescent="0.25">
      <c r="A151" s="26" t="s">
        <v>342</v>
      </c>
      <c r="B151" t="s">
        <v>343</v>
      </c>
      <c r="C151" s="11" t="s">
        <v>19</v>
      </c>
      <c r="F151" s="26" t="s">
        <v>375</v>
      </c>
      <c r="G151" s="35">
        <f t="shared" si="19"/>
        <v>134</v>
      </c>
      <c r="H151" s="26" t="s">
        <v>342</v>
      </c>
      <c r="I151" s="26" t="s">
        <v>375</v>
      </c>
      <c r="J151" s="35"/>
      <c r="K151" s="25"/>
      <c r="L151" s="25"/>
      <c r="M151" s="25"/>
    </row>
    <row r="152" spans="1:13" x14ac:dyDescent="0.25">
      <c r="F152" s="25"/>
      <c r="G152" s="35"/>
      <c r="I152" s="25"/>
      <c r="J152" s="35"/>
      <c r="K152" s="25"/>
      <c r="L152" s="25"/>
      <c r="M152" s="25"/>
    </row>
    <row r="153" spans="1:13" x14ac:dyDescent="0.25">
      <c r="A153" s="26" t="s">
        <v>344</v>
      </c>
      <c r="F153" s="26" t="s">
        <v>344</v>
      </c>
      <c r="G153" s="35">
        <f>+G151+1</f>
        <v>135</v>
      </c>
      <c r="H153" s="26" t="s">
        <v>344</v>
      </c>
      <c r="I153" s="26" t="s">
        <v>344</v>
      </c>
      <c r="J153" s="35"/>
      <c r="K153" s="25"/>
      <c r="L153" s="25"/>
      <c r="M153" s="25"/>
    </row>
    <row r="154" spans="1:13" x14ac:dyDescent="0.25">
      <c r="A154" s="26" t="s">
        <v>345</v>
      </c>
      <c r="B154" s="14" t="s">
        <v>346</v>
      </c>
      <c r="C154" s="11" t="s">
        <v>19</v>
      </c>
      <c r="F154" s="26" t="s">
        <v>375</v>
      </c>
      <c r="G154" s="35">
        <f t="shared" si="19"/>
        <v>136</v>
      </c>
      <c r="H154" s="26" t="s">
        <v>345</v>
      </c>
      <c r="I154" s="26" t="s">
        <v>375</v>
      </c>
      <c r="J154" s="35"/>
      <c r="K154" s="25"/>
      <c r="L154" s="25"/>
      <c r="M154" s="25"/>
    </row>
    <row r="155" spans="1:13" x14ac:dyDescent="0.25">
      <c r="A155" s="38" t="s">
        <v>347</v>
      </c>
      <c r="B155" s="14" t="s">
        <v>348</v>
      </c>
      <c r="C155" s="6" t="s">
        <v>349</v>
      </c>
      <c r="F155" s="38" t="s">
        <v>376</v>
      </c>
      <c r="G155" s="35">
        <f t="shared" si="19"/>
        <v>137</v>
      </c>
      <c r="H155" s="38" t="s">
        <v>347</v>
      </c>
      <c r="I155" s="38" t="s">
        <v>376</v>
      </c>
      <c r="J155" s="35"/>
      <c r="K155" s="25"/>
      <c r="L155" s="25"/>
      <c r="M155" s="25"/>
    </row>
    <row r="156" spans="1:13" x14ac:dyDescent="0.25">
      <c r="F156" s="25"/>
      <c r="I156" s="25"/>
      <c r="K156" s="25"/>
      <c r="L156" s="25"/>
      <c r="M156" s="25"/>
    </row>
  </sheetData>
  <pageMargins left="0.7" right="0.7" top="0.75" bottom="0.75" header="0.3" footer="0.3"/>
  <pageSetup paperSize="9" fitToWidth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37"/>
  <sheetViews>
    <sheetView zoomScale="50" zoomScaleNormal="50" workbookViewId="0">
      <selection activeCell="D11" sqref="D11"/>
    </sheetView>
  </sheetViews>
  <sheetFormatPr defaultColWidth="10.85546875" defaultRowHeight="15" x14ac:dyDescent="0.25"/>
  <cols>
    <col min="1" max="1" width="12.5703125" customWidth="1"/>
    <col min="2" max="2" width="71.42578125" customWidth="1"/>
    <col min="5" max="5" width="13" bestFit="1" customWidth="1"/>
    <col min="12" max="12" width="13.42578125" customWidth="1"/>
    <col min="13" max="13" width="14.42578125" customWidth="1"/>
    <col min="15" max="15" width="14.85546875" style="11" customWidth="1"/>
  </cols>
  <sheetData>
    <row r="2" spans="1:29" x14ac:dyDescent="0.25">
      <c r="B2" s="155" t="s">
        <v>530</v>
      </c>
      <c r="C2" s="182">
        <v>2.7E-2</v>
      </c>
      <c r="D2" s="156"/>
      <c r="E2" s="156"/>
      <c r="F2" s="156"/>
      <c r="G2" s="156"/>
      <c r="H2" s="156"/>
      <c r="I2" s="156"/>
      <c r="J2" s="156"/>
      <c r="K2" s="156"/>
      <c r="L2" s="156"/>
      <c r="M2" s="157"/>
      <c r="N2" s="156"/>
      <c r="O2" s="178"/>
      <c r="P2" s="181">
        <v>2020</v>
      </c>
      <c r="Q2" s="156"/>
      <c r="R2" s="156"/>
      <c r="S2" s="156"/>
      <c r="T2" s="156"/>
      <c r="U2" s="156"/>
      <c r="V2" s="156"/>
      <c r="W2" s="156"/>
      <c r="X2" s="156"/>
      <c r="Y2" s="156"/>
      <c r="Z2" s="157"/>
      <c r="AA2" s="156"/>
    </row>
    <row r="3" spans="1:29" x14ac:dyDescent="0.25">
      <c r="B3" s="158"/>
      <c r="C3" s="159" t="s">
        <v>435</v>
      </c>
      <c r="D3" s="159" t="s">
        <v>435</v>
      </c>
      <c r="E3" s="160" t="s">
        <v>463</v>
      </c>
      <c r="F3" s="159" t="s">
        <v>435</v>
      </c>
      <c r="G3" s="159" t="s">
        <v>435</v>
      </c>
      <c r="H3" s="159" t="s">
        <v>435</v>
      </c>
      <c r="I3" s="159" t="s">
        <v>435</v>
      </c>
      <c r="J3" s="159" t="s">
        <v>435</v>
      </c>
      <c r="K3" s="159" t="s">
        <v>435</v>
      </c>
      <c r="L3" s="160" t="s">
        <v>464</v>
      </c>
      <c r="M3" s="160" t="s">
        <v>465</v>
      </c>
      <c r="N3" s="159" t="s">
        <v>435</v>
      </c>
      <c r="O3" s="179"/>
      <c r="P3" s="159" t="s">
        <v>435</v>
      </c>
      <c r="Q3" s="159" t="s">
        <v>435</v>
      </c>
      <c r="R3" s="160" t="s">
        <v>463</v>
      </c>
      <c r="S3" s="159" t="s">
        <v>435</v>
      </c>
      <c r="T3" s="159" t="s">
        <v>435</v>
      </c>
      <c r="U3" s="159" t="s">
        <v>435</v>
      </c>
      <c r="V3" s="159" t="s">
        <v>435</v>
      </c>
      <c r="W3" s="159" t="s">
        <v>435</v>
      </c>
      <c r="X3" s="159" t="s">
        <v>435</v>
      </c>
      <c r="Y3" s="160" t="s">
        <v>464</v>
      </c>
      <c r="Z3" s="160" t="s">
        <v>465</v>
      </c>
      <c r="AA3" s="159" t="s">
        <v>435</v>
      </c>
      <c r="AB3" s="18"/>
    </row>
    <row r="4" spans="1:29" ht="63.75" x14ac:dyDescent="0.25">
      <c r="A4" s="40" t="s">
        <v>466</v>
      </c>
      <c r="B4" s="161" t="s">
        <v>467</v>
      </c>
      <c r="C4" s="162" t="s">
        <v>468</v>
      </c>
      <c r="D4" s="162" t="s">
        <v>469</v>
      </c>
      <c r="E4" s="162" t="s">
        <v>470</v>
      </c>
      <c r="F4" s="162" t="s">
        <v>471</v>
      </c>
      <c r="G4" s="162" t="s">
        <v>472</v>
      </c>
      <c r="H4" s="162" t="s">
        <v>473</v>
      </c>
      <c r="I4" s="162" t="s">
        <v>474</v>
      </c>
      <c r="J4" s="162" t="s">
        <v>475</v>
      </c>
      <c r="K4" s="162" t="s">
        <v>476</v>
      </c>
      <c r="L4" s="162" t="s">
        <v>477</v>
      </c>
      <c r="M4" s="162" t="s">
        <v>478</v>
      </c>
      <c r="N4" s="162" t="s">
        <v>479</v>
      </c>
      <c r="O4" s="180"/>
      <c r="P4" s="162" t="s">
        <v>468</v>
      </c>
      <c r="Q4" s="162" t="s">
        <v>469</v>
      </c>
      <c r="R4" s="162" t="s">
        <v>470</v>
      </c>
      <c r="S4" s="162" t="s">
        <v>471</v>
      </c>
      <c r="T4" s="162" t="s">
        <v>472</v>
      </c>
      <c r="U4" s="162" t="s">
        <v>473</v>
      </c>
      <c r="V4" s="162" t="s">
        <v>474</v>
      </c>
      <c r="W4" s="162" t="s">
        <v>475</v>
      </c>
      <c r="X4" s="162" t="s">
        <v>476</v>
      </c>
      <c r="Y4" s="162" t="s">
        <v>477</v>
      </c>
      <c r="Z4" s="162" t="s">
        <v>478</v>
      </c>
      <c r="AA4" s="162" t="s">
        <v>479</v>
      </c>
    </row>
    <row r="5" spans="1:29" x14ac:dyDescent="0.25">
      <c r="A5" s="39">
        <v>10200950</v>
      </c>
      <c r="B5" s="11" t="s">
        <v>480</v>
      </c>
      <c r="C5" s="149">
        <v>962</v>
      </c>
      <c r="D5" s="149">
        <v>962</v>
      </c>
      <c r="E5" s="149">
        <v>1154</v>
      </c>
      <c r="F5" s="149">
        <v>962</v>
      </c>
      <c r="G5" s="149">
        <v>962</v>
      </c>
      <c r="H5" s="149">
        <v>962</v>
      </c>
      <c r="I5" s="149">
        <v>962</v>
      </c>
      <c r="J5" s="149">
        <v>962</v>
      </c>
      <c r="K5" s="149">
        <v>962</v>
      </c>
      <c r="L5" s="149">
        <v>837</v>
      </c>
      <c r="M5" s="149">
        <v>4040</v>
      </c>
      <c r="N5" s="149">
        <v>962</v>
      </c>
      <c r="O5" s="146"/>
      <c r="P5" s="149">
        <v>937</v>
      </c>
      <c r="Q5" s="149">
        <v>937</v>
      </c>
      <c r="R5" s="149">
        <v>1124</v>
      </c>
      <c r="S5" s="149">
        <v>937</v>
      </c>
      <c r="T5" s="149">
        <v>937</v>
      </c>
      <c r="U5" s="149">
        <v>937</v>
      </c>
      <c r="V5" s="149">
        <v>937</v>
      </c>
      <c r="W5" s="149">
        <v>937</v>
      </c>
      <c r="X5" s="149">
        <v>937</v>
      </c>
      <c r="Y5" s="149">
        <v>815</v>
      </c>
      <c r="Z5" s="149">
        <v>3934</v>
      </c>
      <c r="AA5" s="149">
        <v>937</v>
      </c>
      <c r="AB5">
        <f t="shared" ref="AB5:AB8" si="0">Y5*(1+$C$2)</f>
        <v>837.00499999999988</v>
      </c>
    </row>
    <row r="6" spans="1:29" x14ac:dyDescent="0.25">
      <c r="A6" s="39">
        <v>10205541</v>
      </c>
      <c r="B6" s="11" t="s">
        <v>481</v>
      </c>
      <c r="C6" s="146">
        <v>128</v>
      </c>
      <c r="D6" s="146">
        <v>128</v>
      </c>
      <c r="E6" s="146">
        <v>140</v>
      </c>
      <c r="F6" s="146">
        <v>128</v>
      </c>
      <c r="G6" s="146">
        <v>128</v>
      </c>
      <c r="H6" s="146">
        <v>128</v>
      </c>
      <c r="I6" s="146">
        <v>128</v>
      </c>
      <c r="J6" s="146">
        <v>128</v>
      </c>
      <c r="K6" s="146">
        <v>128</v>
      </c>
      <c r="L6" s="146">
        <v>118</v>
      </c>
      <c r="M6" s="146">
        <v>554</v>
      </c>
      <c r="N6" s="146">
        <v>128</v>
      </c>
      <c r="O6" s="146"/>
      <c r="P6" s="149">
        <v>125</v>
      </c>
      <c r="Q6" s="149">
        <v>125</v>
      </c>
      <c r="R6" s="149">
        <v>136</v>
      </c>
      <c r="S6" s="149">
        <v>125</v>
      </c>
      <c r="T6" s="149">
        <v>125</v>
      </c>
      <c r="U6" s="149">
        <v>125</v>
      </c>
      <c r="V6" s="149">
        <v>125</v>
      </c>
      <c r="W6" s="149">
        <v>125</v>
      </c>
      <c r="X6" s="149">
        <v>125</v>
      </c>
      <c r="Y6" s="149">
        <v>115</v>
      </c>
      <c r="Z6" s="176">
        <v>539</v>
      </c>
      <c r="AA6" s="149">
        <v>125</v>
      </c>
      <c r="AB6">
        <f t="shared" si="0"/>
        <v>118.10499999999999</v>
      </c>
    </row>
    <row r="7" spans="1:29" x14ac:dyDescent="0.25">
      <c r="A7" s="39">
        <v>10215588</v>
      </c>
      <c r="B7" s="11" t="s">
        <v>503</v>
      </c>
      <c r="C7" s="146">
        <v>1838</v>
      </c>
      <c r="D7" s="146">
        <v>1838</v>
      </c>
      <c r="E7" s="146">
        <v>2207</v>
      </c>
      <c r="F7" s="146">
        <v>1838</v>
      </c>
      <c r="G7" s="146">
        <v>1838</v>
      </c>
      <c r="H7" s="146">
        <v>1838</v>
      </c>
      <c r="I7" s="146">
        <v>1838</v>
      </c>
      <c r="J7" s="146">
        <v>1838</v>
      </c>
      <c r="K7" s="146">
        <v>1838</v>
      </c>
      <c r="L7" s="146">
        <v>1601</v>
      </c>
      <c r="M7" s="146">
        <v>7721</v>
      </c>
      <c r="N7" s="146">
        <v>1838</v>
      </c>
      <c r="O7" s="146"/>
      <c r="P7" s="149">
        <v>1790</v>
      </c>
      <c r="Q7" s="149">
        <v>1790</v>
      </c>
      <c r="R7">
        <v>2148</v>
      </c>
      <c r="S7" s="149">
        <v>1790</v>
      </c>
      <c r="T7" s="149">
        <v>1790</v>
      </c>
      <c r="U7" s="149">
        <v>1790</v>
      </c>
      <c r="V7" s="149">
        <v>1790</v>
      </c>
      <c r="W7" s="149">
        <v>1790</v>
      </c>
      <c r="X7" s="149">
        <v>1790</v>
      </c>
      <c r="Y7">
        <v>1558</v>
      </c>
      <c r="Z7" s="176">
        <v>7697</v>
      </c>
      <c r="AA7" s="149">
        <v>1790</v>
      </c>
      <c r="AB7">
        <f t="shared" si="0"/>
        <v>1600.0659999999998</v>
      </c>
    </row>
    <row r="8" spans="1:29" x14ac:dyDescent="0.25">
      <c r="A8" s="39">
        <v>10215589</v>
      </c>
      <c r="B8" s="11" t="s">
        <v>504</v>
      </c>
      <c r="C8" s="146">
        <v>1795</v>
      </c>
      <c r="D8" s="146">
        <v>1795</v>
      </c>
      <c r="E8" s="146">
        <v>2156</v>
      </c>
      <c r="F8" s="146">
        <v>1795</v>
      </c>
      <c r="G8" s="146">
        <v>1795</v>
      </c>
      <c r="H8" s="146">
        <v>1795</v>
      </c>
      <c r="I8" s="146">
        <v>1795</v>
      </c>
      <c r="J8" s="146">
        <v>1795</v>
      </c>
      <c r="K8" s="146">
        <v>1795</v>
      </c>
      <c r="L8" s="146">
        <v>1565</v>
      </c>
      <c r="M8" s="146">
        <v>7545</v>
      </c>
      <c r="N8" s="146">
        <v>1795</v>
      </c>
      <c r="O8" s="146"/>
      <c r="P8" s="149">
        <v>1749</v>
      </c>
      <c r="Q8" s="149">
        <v>1749</v>
      </c>
      <c r="R8">
        <v>2099</v>
      </c>
      <c r="S8" s="149">
        <v>1749</v>
      </c>
      <c r="T8" s="149">
        <v>1749</v>
      </c>
      <c r="U8" s="149">
        <v>1749</v>
      </c>
      <c r="V8" s="149">
        <v>1749</v>
      </c>
      <c r="W8" s="149">
        <v>1749</v>
      </c>
      <c r="X8" s="149">
        <v>1749</v>
      </c>
      <c r="Y8">
        <v>1523</v>
      </c>
      <c r="Z8" s="176">
        <v>7520.7</v>
      </c>
      <c r="AA8" s="149">
        <v>1749</v>
      </c>
      <c r="AB8">
        <f t="shared" si="0"/>
        <v>1564.1209999999999</v>
      </c>
    </row>
    <row r="9" spans="1:29" x14ac:dyDescent="0.25">
      <c r="A9" s="39">
        <v>10215590</v>
      </c>
      <c r="B9" s="11" t="s">
        <v>505</v>
      </c>
      <c r="C9" s="146">
        <v>1924</v>
      </c>
      <c r="D9" s="146">
        <v>1924</v>
      </c>
      <c r="E9" s="146">
        <v>2311</v>
      </c>
      <c r="F9" s="146">
        <v>1924</v>
      </c>
      <c r="G9" s="146">
        <v>1924</v>
      </c>
      <c r="H9" s="146">
        <v>1924</v>
      </c>
      <c r="I9" s="146">
        <v>1924</v>
      </c>
      <c r="J9" s="146">
        <v>1924</v>
      </c>
      <c r="K9" s="146">
        <v>1924</v>
      </c>
      <c r="L9" s="146">
        <v>1676</v>
      </c>
      <c r="M9" s="146">
        <v>8083</v>
      </c>
      <c r="N9" s="146">
        <v>1924</v>
      </c>
      <c r="O9" s="146"/>
      <c r="P9" s="149">
        <v>1874</v>
      </c>
      <c r="Q9" s="149">
        <v>1874</v>
      </c>
      <c r="R9">
        <v>2249</v>
      </c>
      <c r="S9" s="149">
        <v>1874</v>
      </c>
      <c r="T9" s="149">
        <v>1874</v>
      </c>
      <c r="U9" s="149">
        <v>1874</v>
      </c>
      <c r="V9" s="149">
        <v>1874</v>
      </c>
      <c r="W9" s="149">
        <v>1874</v>
      </c>
      <c r="X9" s="149">
        <v>1874</v>
      </c>
      <c r="Y9">
        <v>1631</v>
      </c>
      <c r="Z9" s="176">
        <v>8058.2</v>
      </c>
      <c r="AA9" s="149">
        <v>1874</v>
      </c>
      <c r="AB9">
        <f>Y9*(1+$C$2)</f>
        <v>1675.0369999999998</v>
      </c>
    </row>
    <row r="10" spans="1:29" ht="15.95" customHeight="1" x14ac:dyDescent="0.25">
      <c r="A10" s="191">
        <v>10215781</v>
      </c>
      <c r="B10" s="11" t="s">
        <v>506</v>
      </c>
      <c r="C10" s="11">
        <v>1881</v>
      </c>
      <c r="D10" s="11">
        <v>1881</v>
      </c>
      <c r="E10" s="146">
        <v>2260</v>
      </c>
      <c r="F10" s="11">
        <v>1881</v>
      </c>
      <c r="G10" s="11">
        <v>1881</v>
      </c>
      <c r="H10" s="11">
        <v>1881</v>
      </c>
      <c r="I10" s="11">
        <v>1881</v>
      </c>
      <c r="J10" s="11">
        <v>1881</v>
      </c>
      <c r="K10" s="11">
        <v>1881</v>
      </c>
      <c r="L10" s="146">
        <v>1640</v>
      </c>
      <c r="M10" s="146">
        <v>7907</v>
      </c>
      <c r="N10" s="11">
        <v>1881</v>
      </c>
      <c r="O10" s="146"/>
      <c r="P10">
        <v>1833</v>
      </c>
      <c r="Q10">
        <v>1833</v>
      </c>
      <c r="R10">
        <v>2200</v>
      </c>
      <c r="S10">
        <v>1833</v>
      </c>
      <c r="T10">
        <v>1833</v>
      </c>
      <c r="U10">
        <v>1833</v>
      </c>
      <c r="V10">
        <v>1833</v>
      </c>
      <c r="W10">
        <v>1833</v>
      </c>
      <c r="X10">
        <v>1833</v>
      </c>
      <c r="Y10">
        <v>1596</v>
      </c>
      <c r="Z10" s="176">
        <v>7881.9</v>
      </c>
      <c r="AA10">
        <v>1833</v>
      </c>
      <c r="AB10">
        <f>Y10*(1+C2)</f>
        <v>1639.0919999999999</v>
      </c>
      <c r="AC10">
        <f>Y10/P10</f>
        <v>0.87070376432078556</v>
      </c>
    </row>
    <row r="11" spans="1:29" x14ac:dyDescent="0.25">
      <c r="A11" s="39">
        <v>10215782</v>
      </c>
      <c r="B11" s="11" t="s">
        <v>507</v>
      </c>
      <c r="C11" s="11">
        <v>1258</v>
      </c>
      <c r="D11" s="11">
        <v>1258</v>
      </c>
      <c r="E11" s="146">
        <v>1510</v>
      </c>
      <c r="F11" s="11">
        <v>1258</v>
      </c>
      <c r="G11" s="11">
        <v>1258</v>
      </c>
      <c r="H11" s="11">
        <v>1258</v>
      </c>
      <c r="I11" s="11">
        <v>1258</v>
      </c>
      <c r="J11" s="11">
        <v>1258</v>
      </c>
      <c r="K11" s="11">
        <v>1258</v>
      </c>
      <c r="L11" s="146">
        <v>1096</v>
      </c>
      <c r="M11" s="146">
        <v>5284</v>
      </c>
      <c r="N11" s="11">
        <v>1258</v>
      </c>
      <c r="O11" s="146"/>
      <c r="P11">
        <v>1225</v>
      </c>
      <c r="Q11">
        <v>1225</v>
      </c>
      <c r="R11">
        <v>1470</v>
      </c>
      <c r="S11">
        <v>1225</v>
      </c>
      <c r="T11">
        <v>1225</v>
      </c>
      <c r="U11">
        <v>1225</v>
      </c>
      <c r="V11">
        <v>1225</v>
      </c>
      <c r="W11">
        <v>1225</v>
      </c>
      <c r="X11">
        <v>1225</v>
      </c>
      <c r="Y11">
        <v>1067</v>
      </c>
      <c r="Z11" s="176">
        <v>5267.5</v>
      </c>
      <c r="AA11">
        <v>1225</v>
      </c>
    </row>
    <row r="12" spans="1:29" x14ac:dyDescent="0.25">
      <c r="A12" s="39">
        <v>10215783</v>
      </c>
      <c r="B12" s="11" t="s">
        <v>508</v>
      </c>
      <c r="C12" s="11">
        <v>1542</v>
      </c>
      <c r="D12" s="11">
        <v>1542</v>
      </c>
      <c r="E12" s="146">
        <v>1852</v>
      </c>
      <c r="F12" s="11">
        <v>1542</v>
      </c>
      <c r="G12" s="11">
        <v>1542</v>
      </c>
      <c r="H12" s="11">
        <v>1542</v>
      </c>
      <c r="I12" s="11">
        <v>1542</v>
      </c>
      <c r="J12" s="11">
        <v>1542</v>
      </c>
      <c r="K12" s="11">
        <v>1542</v>
      </c>
      <c r="L12" s="146">
        <v>1344</v>
      </c>
      <c r="M12" s="146">
        <v>6480</v>
      </c>
      <c r="N12" s="11">
        <v>1542</v>
      </c>
      <c r="O12" s="146"/>
      <c r="P12">
        <v>1502</v>
      </c>
      <c r="Q12">
        <v>1502</v>
      </c>
      <c r="R12">
        <v>1803</v>
      </c>
      <c r="S12">
        <v>1502</v>
      </c>
      <c r="T12">
        <v>1502</v>
      </c>
      <c r="U12">
        <v>1502</v>
      </c>
      <c r="V12">
        <v>1502</v>
      </c>
      <c r="W12">
        <v>1502</v>
      </c>
      <c r="X12">
        <v>1502</v>
      </c>
      <c r="Y12">
        <v>1308</v>
      </c>
      <c r="Z12" s="176">
        <v>6458.5999999999995</v>
      </c>
      <c r="AA12">
        <v>1502</v>
      </c>
    </row>
    <row r="13" spans="1:29" x14ac:dyDescent="0.25">
      <c r="A13" s="39">
        <v>10215784</v>
      </c>
      <c r="B13" s="11" t="s">
        <v>509</v>
      </c>
      <c r="C13" s="11">
        <v>1374</v>
      </c>
      <c r="D13" s="11">
        <v>1374</v>
      </c>
      <c r="E13" s="146">
        <v>1650</v>
      </c>
      <c r="F13" s="11">
        <v>1374</v>
      </c>
      <c r="G13" s="11">
        <v>1374</v>
      </c>
      <c r="H13" s="11">
        <v>1374</v>
      </c>
      <c r="I13" s="11">
        <v>1374</v>
      </c>
      <c r="J13" s="11">
        <v>1374</v>
      </c>
      <c r="K13" s="11">
        <v>1374</v>
      </c>
      <c r="L13" s="146">
        <v>1197</v>
      </c>
      <c r="M13" s="146">
        <v>5772</v>
      </c>
      <c r="N13" s="11">
        <v>1374</v>
      </c>
      <c r="O13" s="146"/>
      <c r="P13">
        <v>1338</v>
      </c>
      <c r="Q13">
        <v>1338</v>
      </c>
      <c r="R13">
        <v>1606</v>
      </c>
      <c r="S13">
        <v>1338</v>
      </c>
      <c r="T13">
        <v>1338</v>
      </c>
      <c r="U13">
        <v>1338</v>
      </c>
      <c r="V13">
        <v>1338</v>
      </c>
      <c r="W13">
        <v>1338</v>
      </c>
      <c r="X13">
        <v>1338</v>
      </c>
      <c r="Y13">
        <v>1165</v>
      </c>
      <c r="Z13" s="176">
        <v>5753.4</v>
      </c>
      <c r="AA13">
        <v>1338</v>
      </c>
    </row>
    <row r="14" spans="1:29" x14ac:dyDescent="0.25">
      <c r="A14" s="39">
        <v>10215582</v>
      </c>
      <c r="B14" s="11" t="s">
        <v>510</v>
      </c>
      <c r="C14" s="11">
        <v>1423</v>
      </c>
      <c r="D14" s="11">
        <v>1423</v>
      </c>
      <c r="E14" s="146">
        <v>1708</v>
      </c>
      <c r="F14" s="11">
        <v>1423</v>
      </c>
      <c r="G14" s="11">
        <v>1423</v>
      </c>
      <c r="H14" s="11">
        <v>1423</v>
      </c>
      <c r="I14" s="11">
        <v>1423</v>
      </c>
      <c r="J14" s="11">
        <v>1423</v>
      </c>
      <c r="K14" s="11">
        <v>1423</v>
      </c>
      <c r="L14" s="146">
        <v>1240</v>
      </c>
      <c r="M14" s="146">
        <v>5978</v>
      </c>
      <c r="N14" s="11">
        <v>1423</v>
      </c>
      <c r="O14" s="146"/>
      <c r="P14">
        <v>1386</v>
      </c>
      <c r="Q14">
        <v>1386</v>
      </c>
      <c r="R14">
        <v>1663</v>
      </c>
      <c r="S14">
        <v>1386</v>
      </c>
      <c r="T14">
        <v>1386</v>
      </c>
      <c r="U14">
        <v>1386</v>
      </c>
      <c r="V14">
        <v>1386</v>
      </c>
      <c r="W14">
        <v>1386</v>
      </c>
      <c r="X14">
        <v>1386</v>
      </c>
      <c r="Y14">
        <v>1207</v>
      </c>
      <c r="Z14" s="176">
        <v>5959.8</v>
      </c>
      <c r="AA14">
        <v>1386</v>
      </c>
    </row>
    <row r="15" spans="1:29" x14ac:dyDescent="0.25">
      <c r="A15" s="39">
        <v>10207754</v>
      </c>
      <c r="B15" t="s">
        <v>511</v>
      </c>
      <c r="C15">
        <v>443</v>
      </c>
      <c r="D15">
        <v>443</v>
      </c>
      <c r="E15" s="149">
        <v>531</v>
      </c>
      <c r="F15">
        <v>443</v>
      </c>
      <c r="G15">
        <v>443</v>
      </c>
      <c r="H15">
        <v>443</v>
      </c>
      <c r="I15">
        <v>443</v>
      </c>
      <c r="J15">
        <v>443</v>
      </c>
      <c r="K15">
        <v>443</v>
      </c>
      <c r="L15" s="149">
        <v>385</v>
      </c>
      <c r="M15" s="149">
        <v>1859</v>
      </c>
      <c r="N15">
        <v>443</v>
      </c>
      <c r="O15" s="146"/>
      <c r="P15">
        <v>431</v>
      </c>
      <c r="Q15">
        <v>431</v>
      </c>
      <c r="R15">
        <v>517</v>
      </c>
      <c r="S15">
        <v>431</v>
      </c>
      <c r="T15">
        <v>431</v>
      </c>
      <c r="U15">
        <v>431</v>
      </c>
      <c r="V15">
        <v>431</v>
      </c>
      <c r="W15">
        <v>431</v>
      </c>
      <c r="X15">
        <v>431</v>
      </c>
      <c r="Y15">
        <v>375</v>
      </c>
      <c r="Z15">
        <v>1810</v>
      </c>
      <c r="AA15">
        <v>431</v>
      </c>
    </row>
    <row r="16" spans="1:29" x14ac:dyDescent="0.25">
      <c r="A16" s="39">
        <v>10207755</v>
      </c>
      <c r="B16" t="s">
        <v>512</v>
      </c>
      <c r="C16">
        <v>443</v>
      </c>
      <c r="D16">
        <v>443</v>
      </c>
      <c r="E16" s="149">
        <v>531</v>
      </c>
      <c r="F16">
        <v>443</v>
      </c>
      <c r="G16">
        <v>443</v>
      </c>
      <c r="H16">
        <v>443</v>
      </c>
      <c r="I16">
        <v>443</v>
      </c>
      <c r="J16">
        <v>443</v>
      </c>
      <c r="K16">
        <v>443</v>
      </c>
      <c r="L16" s="149">
        <v>385</v>
      </c>
      <c r="M16" s="149">
        <v>1859</v>
      </c>
      <c r="N16">
        <v>443</v>
      </c>
      <c r="O16" s="146"/>
      <c r="P16">
        <v>431</v>
      </c>
      <c r="Q16">
        <v>431</v>
      </c>
      <c r="R16">
        <v>517</v>
      </c>
      <c r="S16">
        <v>431</v>
      </c>
      <c r="T16">
        <v>431</v>
      </c>
      <c r="U16">
        <v>431</v>
      </c>
      <c r="V16">
        <v>431</v>
      </c>
      <c r="W16">
        <v>431</v>
      </c>
      <c r="X16">
        <v>431</v>
      </c>
      <c r="Y16">
        <v>375</v>
      </c>
      <c r="Z16">
        <v>1810</v>
      </c>
      <c r="AA16">
        <v>431</v>
      </c>
    </row>
    <row r="17" spans="1:27" x14ac:dyDescent="0.25">
      <c r="A17" s="39">
        <v>10207729</v>
      </c>
      <c r="B17" t="s">
        <v>513</v>
      </c>
      <c r="C17">
        <v>443</v>
      </c>
      <c r="D17">
        <v>443</v>
      </c>
      <c r="E17" s="149">
        <v>531</v>
      </c>
      <c r="F17">
        <v>443</v>
      </c>
      <c r="G17" s="143">
        <v>221</v>
      </c>
      <c r="H17">
        <v>443</v>
      </c>
      <c r="I17">
        <v>443</v>
      </c>
      <c r="J17">
        <v>443</v>
      </c>
      <c r="K17">
        <v>443</v>
      </c>
      <c r="L17" s="149">
        <v>385</v>
      </c>
      <c r="M17" s="149">
        <v>1859</v>
      </c>
      <c r="N17">
        <v>443</v>
      </c>
      <c r="O17" s="146"/>
      <c r="P17">
        <v>431</v>
      </c>
      <c r="Q17">
        <v>431</v>
      </c>
      <c r="R17">
        <v>517</v>
      </c>
      <c r="S17">
        <v>431</v>
      </c>
      <c r="T17" s="143">
        <v>215</v>
      </c>
      <c r="U17">
        <v>431</v>
      </c>
      <c r="V17">
        <v>431</v>
      </c>
      <c r="W17">
        <v>431</v>
      </c>
      <c r="X17">
        <v>431</v>
      </c>
      <c r="Y17">
        <v>375</v>
      </c>
      <c r="Z17">
        <v>1810</v>
      </c>
      <c r="AA17">
        <v>431</v>
      </c>
    </row>
    <row r="18" spans="1:27" x14ac:dyDescent="0.25">
      <c r="A18" s="39">
        <v>10206631</v>
      </c>
      <c r="B18" t="s">
        <v>514</v>
      </c>
      <c r="C18">
        <v>443</v>
      </c>
      <c r="D18">
        <v>443</v>
      </c>
      <c r="E18" s="149">
        <v>531</v>
      </c>
      <c r="F18">
        <v>443</v>
      </c>
      <c r="G18">
        <v>443</v>
      </c>
      <c r="H18">
        <v>443</v>
      </c>
      <c r="I18">
        <v>443</v>
      </c>
      <c r="J18">
        <v>443</v>
      </c>
      <c r="K18">
        <v>443</v>
      </c>
      <c r="L18" s="149">
        <v>385</v>
      </c>
      <c r="M18" s="149">
        <v>1859</v>
      </c>
      <c r="N18">
        <v>443</v>
      </c>
      <c r="O18" s="146"/>
      <c r="P18">
        <v>431</v>
      </c>
      <c r="Q18">
        <v>431</v>
      </c>
      <c r="R18">
        <v>517</v>
      </c>
      <c r="S18">
        <v>431</v>
      </c>
      <c r="T18">
        <v>431</v>
      </c>
      <c r="U18">
        <v>431</v>
      </c>
      <c r="V18">
        <v>431</v>
      </c>
      <c r="W18">
        <v>431</v>
      </c>
      <c r="X18">
        <v>431</v>
      </c>
      <c r="Y18">
        <v>375</v>
      </c>
      <c r="Z18">
        <v>1810</v>
      </c>
      <c r="AA18">
        <v>431</v>
      </c>
    </row>
    <row r="19" spans="1:27" x14ac:dyDescent="0.25">
      <c r="A19" s="39">
        <v>10207751</v>
      </c>
      <c r="B19" t="s">
        <v>515</v>
      </c>
      <c r="C19">
        <v>443</v>
      </c>
      <c r="D19">
        <v>443</v>
      </c>
      <c r="E19" s="149">
        <v>531</v>
      </c>
      <c r="F19">
        <v>443</v>
      </c>
      <c r="G19" s="143">
        <v>221</v>
      </c>
      <c r="H19">
        <v>443</v>
      </c>
      <c r="I19">
        <v>443</v>
      </c>
      <c r="J19">
        <v>443</v>
      </c>
      <c r="K19">
        <v>443</v>
      </c>
      <c r="L19" s="149">
        <v>385</v>
      </c>
      <c r="M19" s="149">
        <v>1859</v>
      </c>
      <c r="N19">
        <v>443</v>
      </c>
      <c r="O19" s="146"/>
      <c r="P19">
        <v>431</v>
      </c>
      <c r="Q19">
        <v>431</v>
      </c>
      <c r="R19">
        <v>517</v>
      </c>
      <c r="S19">
        <v>431</v>
      </c>
      <c r="T19" s="143">
        <v>215</v>
      </c>
      <c r="U19">
        <v>431</v>
      </c>
      <c r="V19">
        <v>431</v>
      </c>
      <c r="W19">
        <v>431</v>
      </c>
      <c r="X19">
        <v>431</v>
      </c>
      <c r="Y19">
        <v>375</v>
      </c>
      <c r="Z19">
        <v>1810</v>
      </c>
      <c r="AA19">
        <v>431</v>
      </c>
    </row>
    <row r="20" spans="1:27" x14ac:dyDescent="0.25">
      <c r="A20" s="39">
        <v>10207752</v>
      </c>
      <c r="B20" t="s">
        <v>516</v>
      </c>
      <c r="C20">
        <v>443</v>
      </c>
      <c r="D20">
        <v>443</v>
      </c>
      <c r="E20" s="149">
        <v>531</v>
      </c>
      <c r="F20">
        <v>443</v>
      </c>
      <c r="G20">
        <v>443</v>
      </c>
      <c r="H20">
        <v>443</v>
      </c>
      <c r="I20">
        <v>443</v>
      </c>
      <c r="J20">
        <v>443</v>
      </c>
      <c r="K20">
        <v>443</v>
      </c>
      <c r="L20" s="149">
        <v>385</v>
      </c>
      <c r="M20" s="149">
        <v>1859</v>
      </c>
      <c r="N20">
        <v>443</v>
      </c>
      <c r="O20" s="146"/>
      <c r="P20">
        <v>431</v>
      </c>
      <c r="Q20">
        <v>431</v>
      </c>
      <c r="R20">
        <v>517</v>
      </c>
      <c r="S20">
        <v>431</v>
      </c>
      <c r="T20">
        <v>431</v>
      </c>
      <c r="U20">
        <v>431</v>
      </c>
      <c r="V20">
        <v>431</v>
      </c>
      <c r="W20">
        <v>431</v>
      </c>
      <c r="X20">
        <v>431</v>
      </c>
      <c r="Y20">
        <v>375</v>
      </c>
      <c r="Z20">
        <v>1810</v>
      </c>
      <c r="AA20">
        <v>431</v>
      </c>
    </row>
    <row r="21" spans="1:27" x14ac:dyDescent="0.25">
      <c r="A21" s="39">
        <v>10207728</v>
      </c>
      <c r="B21" t="s">
        <v>517</v>
      </c>
      <c r="C21">
        <v>514</v>
      </c>
      <c r="D21">
        <v>514</v>
      </c>
      <c r="E21" s="149">
        <v>616</v>
      </c>
      <c r="F21">
        <v>514</v>
      </c>
      <c r="G21">
        <v>514</v>
      </c>
      <c r="H21">
        <v>514</v>
      </c>
      <c r="I21">
        <v>514</v>
      </c>
      <c r="J21">
        <v>514</v>
      </c>
      <c r="K21">
        <v>514</v>
      </c>
      <c r="L21" s="149">
        <v>447</v>
      </c>
      <c r="M21" s="149">
        <v>2157</v>
      </c>
      <c r="N21">
        <v>514</v>
      </c>
      <c r="O21" s="146"/>
      <c r="P21">
        <v>500</v>
      </c>
      <c r="Q21">
        <v>500</v>
      </c>
      <c r="R21">
        <v>600</v>
      </c>
      <c r="S21">
        <v>500</v>
      </c>
      <c r="T21">
        <v>500</v>
      </c>
      <c r="U21">
        <v>500</v>
      </c>
      <c r="V21">
        <v>500</v>
      </c>
      <c r="W21">
        <v>500</v>
      </c>
      <c r="X21">
        <v>500</v>
      </c>
      <c r="Y21">
        <v>435</v>
      </c>
      <c r="Z21">
        <v>2100</v>
      </c>
      <c r="AA21">
        <v>500</v>
      </c>
    </row>
    <row r="22" spans="1:27" x14ac:dyDescent="0.25">
      <c r="A22" s="39">
        <v>10207756</v>
      </c>
      <c r="B22" t="s">
        <v>518</v>
      </c>
      <c r="C22">
        <v>514</v>
      </c>
      <c r="D22">
        <v>514</v>
      </c>
      <c r="E22" s="149">
        <v>616</v>
      </c>
      <c r="F22">
        <v>514</v>
      </c>
      <c r="G22">
        <v>514</v>
      </c>
      <c r="H22">
        <v>514</v>
      </c>
      <c r="I22">
        <v>514</v>
      </c>
      <c r="J22">
        <v>514</v>
      </c>
      <c r="K22">
        <v>514</v>
      </c>
      <c r="L22" s="149">
        <v>447</v>
      </c>
      <c r="M22" s="149">
        <v>2157</v>
      </c>
      <c r="N22">
        <v>514</v>
      </c>
      <c r="O22" s="146"/>
      <c r="P22">
        <v>500</v>
      </c>
      <c r="Q22">
        <v>500</v>
      </c>
      <c r="R22">
        <v>600</v>
      </c>
      <c r="S22">
        <v>500</v>
      </c>
      <c r="T22">
        <v>500</v>
      </c>
      <c r="U22">
        <v>500</v>
      </c>
      <c r="V22">
        <v>500</v>
      </c>
      <c r="W22">
        <v>500</v>
      </c>
      <c r="X22">
        <v>500</v>
      </c>
      <c r="Y22">
        <v>435</v>
      </c>
      <c r="Z22">
        <v>2100</v>
      </c>
      <c r="AA22">
        <v>500</v>
      </c>
    </row>
    <row r="23" spans="1:27" x14ac:dyDescent="0.25">
      <c r="A23" s="39">
        <v>10207730</v>
      </c>
      <c r="B23" t="s">
        <v>519</v>
      </c>
      <c r="C23">
        <v>250</v>
      </c>
      <c r="D23">
        <v>250</v>
      </c>
      <c r="E23" s="149">
        <v>300</v>
      </c>
      <c r="F23">
        <v>250</v>
      </c>
      <c r="G23">
        <v>250</v>
      </c>
      <c r="H23">
        <v>250</v>
      </c>
      <c r="I23">
        <v>250</v>
      </c>
      <c r="J23">
        <v>250</v>
      </c>
      <c r="K23">
        <v>250</v>
      </c>
      <c r="L23" s="149">
        <v>217</v>
      </c>
      <c r="M23" s="149">
        <v>1049</v>
      </c>
      <c r="N23">
        <v>250</v>
      </c>
      <c r="O23" s="146"/>
      <c r="P23">
        <v>243</v>
      </c>
      <c r="Q23">
        <v>243</v>
      </c>
      <c r="R23">
        <v>292</v>
      </c>
      <c r="S23">
        <v>243</v>
      </c>
      <c r="T23">
        <v>243</v>
      </c>
      <c r="U23">
        <v>243</v>
      </c>
      <c r="V23">
        <v>243</v>
      </c>
      <c r="W23">
        <v>243</v>
      </c>
      <c r="X23">
        <v>243</v>
      </c>
      <c r="Y23">
        <v>211</v>
      </c>
      <c r="Z23">
        <v>1021</v>
      </c>
      <c r="AA23">
        <v>243</v>
      </c>
    </row>
    <row r="24" spans="1:27" x14ac:dyDescent="0.25">
      <c r="A24" s="39">
        <v>10207753</v>
      </c>
      <c r="B24" t="s">
        <v>520</v>
      </c>
      <c r="C24">
        <v>250</v>
      </c>
      <c r="D24">
        <v>250</v>
      </c>
      <c r="E24" s="149">
        <v>300</v>
      </c>
      <c r="F24">
        <v>250</v>
      </c>
      <c r="G24">
        <v>250</v>
      </c>
      <c r="H24">
        <v>250</v>
      </c>
      <c r="I24">
        <v>250</v>
      </c>
      <c r="J24">
        <v>250</v>
      </c>
      <c r="K24">
        <v>250</v>
      </c>
      <c r="L24" s="149">
        <v>217</v>
      </c>
      <c r="M24" s="149">
        <v>1049</v>
      </c>
      <c r="N24">
        <v>250</v>
      </c>
      <c r="O24" s="146"/>
      <c r="P24">
        <v>243</v>
      </c>
      <c r="Q24">
        <v>243</v>
      </c>
      <c r="R24">
        <v>292</v>
      </c>
      <c r="S24">
        <v>243</v>
      </c>
      <c r="T24">
        <v>243</v>
      </c>
      <c r="U24">
        <v>243</v>
      </c>
      <c r="V24">
        <v>243</v>
      </c>
      <c r="W24">
        <v>243</v>
      </c>
      <c r="X24">
        <v>243</v>
      </c>
      <c r="Y24">
        <v>211</v>
      </c>
      <c r="Z24">
        <v>1021</v>
      </c>
      <c r="AA24">
        <v>243</v>
      </c>
    </row>
    <row r="25" spans="1:27" x14ac:dyDescent="0.25">
      <c r="A25" s="39"/>
    </row>
    <row r="26" spans="1:27" x14ac:dyDescent="0.25">
      <c r="A26" s="39"/>
    </row>
    <row r="29" spans="1:27" x14ac:dyDescent="0.25">
      <c r="C29" s="149"/>
      <c r="D29" s="149"/>
    </row>
    <row r="36" spans="3:4" x14ac:dyDescent="0.25">
      <c r="C36" s="149"/>
      <c r="D36" s="149"/>
    </row>
    <row r="37" spans="3:4" x14ac:dyDescent="0.25">
      <c r="C37" s="149"/>
      <c r="D37" s="149"/>
    </row>
  </sheetData>
  <pageMargins left="0.7" right="0.7" top="0.78740157499999996" bottom="0.78740157499999996" header="0.3" footer="0.3"/>
  <customProperties>
    <customPr name="_pios_i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CX58"/>
  <sheetViews>
    <sheetView zoomScale="50" zoomScaleNormal="50" workbookViewId="0">
      <pane ySplit="1" topLeftCell="A2" activePane="bottomLeft" state="frozen"/>
      <selection activeCell="B4" sqref="B4"/>
      <selection pane="bottomLeft" activeCell="O17" sqref="O17"/>
    </sheetView>
  </sheetViews>
  <sheetFormatPr defaultColWidth="9.140625" defaultRowHeight="15" outlineLevelCol="1" x14ac:dyDescent="0.25"/>
  <cols>
    <col min="1" max="1" width="12.85546875" style="8" bestFit="1" customWidth="1"/>
    <col min="2" max="3" width="39" style="10" hidden="1" customWidth="1"/>
    <col min="4" max="4" width="34.7109375" hidden="1" customWidth="1"/>
    <col min="5" max="5" width="8.85546875" style="11" customWidth="1"/>
    <col min="6" max="6" width="17" style="11" customWidth="1"/>
    <col min="7" max="9" width="7.85546875" style="11" customWidth="1"/>
    <col min="10" max="10" width="14.140625" style="11" customWidth="1"/>
    <col min="11" max="11" width="11.85546875" style="11" customWidth="1"/>
    <col min="12" max="12" width="7.85546875" style="11" customWidth="1"/>
    <col min="13" max="13" width="8.28515625" style="11" customWidth="1" outlineLevel="1" collapsed="1"/>
    <col min="14" max="14" width="7.85546875" style="11" customWidth="1" outlineLevel="1"/>
    <col min="15" max="15" width="9" style="11" customWidth="1" outlineLevel="1"/>
    <col min="16" max="22" width="7.85546875" style="11" customWidth="1" outlineLevel="1"/>
    <col min="23" max="23" width="9" style="11" customWidth="1" outlineLevel="1"/>
    <col min="24" max="24" width="7.85546875" style="11" customWidth="1" outlineLevel="1"/>
    <col min="25" max="25" width="15.42578125" style="11" customWidth="1" outlineLevel="1"/>
    <col min="26" max="29" width="15.7109375" style="142" customWidth="1" outlineLevel="1"/>
    <col min="30" max="32" width="9.140625" customWidth="1" outlineLevel="1"/>
    <col min="33" max="44" width="9.140625" style="186" customWidth="1"/>
    <col min="45" max="47" width="9.140625" customWidth="1"/>
    <col min="48" max="48" width="20" hidden="1" customWidth="1" outlineLevel="1"/>
    <col min="49" max="49" width="11" hidden="1" customWidth="1" outlineLevel="1"/>
    <col min="50" max="63" width="9.140625" hidden="1" customWidth="1" outlineLevel="1"/>
    <col min="64" max="64" width="9.140625" collapsed="1"/>
  </cols>
  <sheetData>
    <row r="1" spans="1:68" ht="30" x14ac:dyDescent="0.25">
      <c r="A1" s="1" t="s">
        <v>436</v>
      </c>
      <c r="B1" s="2"/>
      <c r="C1" s="2"/>
      <c r="D1" s="3" t="s">
        <v>1</v>
      </c>
      <c r="E1" s="17"/>
      <c r="F1" s="140" t="s">
        <v>500</v>
      </c>
      <c r="G1"/>
      <c r="H1"/>
      <c r="I1"/>
      <c r="J1" s="148" t="s">
        <v>483</v>
      </c>
      <c r="K1" s="148"/>
      <c r="L1"/>
      <c r="M1" s="147" t="s">
        <v>439</v>
      </c>
      <c r="N1" s="147" t="s">
        <v>440</v>
      </c>
      <c r="O1" s="147" t="s">
        <v>441</v>
      </c>
      <c r="P1" s="147" t="s">
        <v>442</v>
      </c>
      <c r="Q1" s="147" t="s">
        <v>443</v>
      </c>
      <c r="R1" s="147" t="s">
        <v>444</v>
      </c>
      <c r="S1" s="147" t="s">
        <v>445</v>
      </c>
      <c r="T1" s="147" t="s">
        <v>446</v>
      </c>
      <c r="U1" s="147" t="s">
        <v>447</v>
      </c>
      <c r="V1" s="147" t="s">
        <v>448</v>
      </c>
      <c r="W1" s="147" t="s">
        <v>449</v>
      </c>
      <c r="X1" s="147" t="s">
        <v>450</v>
      </c>
      <c r="Y1" s="177" t="s">
        <v>482</v>
      </c>
      <c r="Z1" s="140" t="s">
        <v>531</v>
      </c>
      <c r="AA1" s="140" t="s">
        <v>532</v>
      </c>
      <c r="AB1" s="140" t="s">
        <v>533</v>
      </c>
      <c r="AC1" s="140" t="s">
        <v>534</v>
      </c>
      <c r="AG1" s="185" t="s">
        <v>439</v>
      </c>
      <c r="AH1" s="185" t="s">
        <v>440</v>
      </c>
      <c r="AI1" s="185" t="s">
        <v>441</v>
      </c>
      <c r="AJ1" s="185" t="s">
        <v>442</v>
      </c>
      <c r="AK1" s="185" t="s">
        <v>443</v>
      </c>
      <c r="AL1" s="185" t="s">
        <v>444</v>
      </c>
      <c r="AM1" s="185" t="s">
        <v>445</v>
      </c>
      <c r="AN1" s="185" t="s">
        <v>446</v>
      </c>
      <c r="AO1" s="185" t="s">
        <v>447</v>
      </c>
      <c r="AP1" s="185" t="s">
        <v>448</v>
      </c>
      <c r="AQ1" s="185" t="s">
        <v>449</v>
      </c>
      <c r="AR1" s="185" t="s">
        <v>450</v>
      </c>
      <c r="AV1" s="148" t="s">
        <v>438</v>
      </c>
      <c r="AW1" s="148"/>
      <c r="AY1" s="147" t="s">
        <v>439</v>
      </c>
      <c r="AZ1" s="147" t="s">
        <v>440</v>
      </c>
      <c r="BA1" s="147" t="s">
        <v>441</v>
      </c>
      <c r="BB1" s="147" t="s">
        <v>442</v>
      </c>
      <c r="BC1" s="147" t="s">
        <v>443</v>
      </c>
      <c r="BD1" s="147" t="s">
        <v>444</v>
      </c>
      <c r="BE1" s="147" t="s">
        <v>445</v>
      </c>
      <c r="BF1" s="147" t="s">
        <v>446</v>
      </c>
      <c r="BG1" s="147" t="s">
        <v>447</v>
      </c>
      <c r="BH1" s="147" t="s">
        <v>448</v>
      </c>
      <c r="BI1" s="147" t="s">
        <v>449</v>
      </c>
      <c r="BJ1" s="147" t="s">
        <v>450</v>
      </c>
      <c r="BK1" s="147" t="s">
        <v>451</v>
      </c>
    </row>
    <row r="2" spans="1:68" x14ac:dyDescent="0.25">
      <c r="A2" s="27" t="s">
        <v>3</v>
      </c>
      <c r="B2" s="5" t="s">
        <v>4</v>
      </c>
      <c r="C2" s="7" t="s">
        <v>5</v>
      </c>
      <c r="D2" s="7" t="s">
        <v>5</v>
      </c>
      <c r="E2" s="7"/>
      <c r="F2" s="163">
        <f>+VLOOKUP($D2,'Pricing Conditions M1 SCBA'!C:F,4,FALSE)</f>
        <v>284</v>
      </c>
      <c r="G2" t="s">
        <v>435</v>
      </c>
      <c r="H2">
        <v>1</v>
      </c>
      <c r="I2" t="s">
        <v>460</v>
      </c>
      <c r="J2" s="164" t="s">
        <v>535</v>
      </c>
      <c r="K2" s="164" t="s">
        <v>524</v>
      </c>
      <c r="L2"/>
      <c r="M2" s="145">
        <f>ROUND(Z2*(1+Y2),0)</f>
        <v>284</v>
      </c>
      <c r="N2" s="146">
        <f t="shared" ref="N2:N55" si="0">+M2</f>
        <v>284</v>
      </c>
      <c r="O2" s="145">
        <f>ROUND(AA2*(1+Y2),0)</f>
        <v>341</v>
      </c>
      <c r="P2" s="146">
        <v>284</v>
      </c>
      <c r="Q2" s="146">
        <v>284</v>
      </c>
      <c r="R2" s="146">
        <v>284</v>
      </c>
      <c r="S2" s="146">
        <v>284</v>
      </c>
      <c r="T2" s="146">
        <v>284</v>
      </c>
      <c r="U2" s="146">
        <v>284</v>
      </c>
      <c r="V2" s="145">
        <f>ROUND(AB2*(1+Y2),0)</f>
        <v>248</v>
      </c>
      <c r="W2" s="145">
        <f>ROUND(AC2*(1+Y2),0)</f>
        <v>1194</v>
      </c>
      <c r="X2" s="146">
        <v>284</v>
      </c>
      <c r="Y2" s="184">
        <v>2.7E-2</v>
      </c>
      <c r="Z2" s="141">
        <f>+VLOOKUP($D2,'Pricing Conditions M1 SCBA'!C:I,7,FALSE)</f>
        <v>277</v>
      </c>
      <c r="AA2" s="141">
        <v>332</v>
      </c>
      <c r="AB2" s="141">
        <v>241</v>
      </c>
      <c r="AC2" s="141">
        <v>1163</v>
      </c>
      <c r="AD2" t="s">
        <v>435</v>
      </c>
      <c r="AE2">
        <v>1</v>
      </c>
      <c r="AF2" t="s">
        <v>437</v>
      </c>
      <c r="AG2" s="186">
        <f>M2/Z2-1</f>
        <v>2.5270758122743597E-2</v>
      </c>
      <c r="AH2" s="186">
        <f>N2/Z2-1</f>
        <v>2.5270758122743597E-2</v>
      </c>
      <c r="AI2" s="186">
        <f>O2/AA2-1</f>
        <v>2.7108433734939652E-2</v>
      </c>
      <c r="AJ2" s="186">
        <f>P2/Z2-1</f>
        <v>2.5270758122743597E-2</v>
      </c>
      <c r="AK2" s="186">
        <f>Q2/Z2-1</f>
        <v>2.5270758122743597E-2</v>
      </c>
      <c r="AL2" s="186">
        <f>R2/Z2-1</f>
        <v>2.5270758122743597E-2</v>
      </c>
      <c r="AM2" s="186">
        <f>S2/Z2-1</f>
        <v>2.5270758122743597E-2</v>
      </c>
      <c r="AN2" s="186">
        <f>T2/Z2-1</f>
        <v>2.5270758122743597E-2</v>
      </c>
      <c r="AO2" s="186">
        <f>U2/Z2-1</f>
        <v>2.5270758122743597E-2</v>
      </c>
      <c r="AP2" s="186">
        <f>V2/AB2-1</f>
        <v>2.9045643153526868E-2</v>
      </c>
      <c r="AQ2" s="186">
        <f>W2/AC2-1</f>
        <v>2.6655202063628591E-2</v>
      </c>
      <c r="AR2" s="186">
        <f>X2/Z2-1</f>
        <v>2.5270758122743597E-2</v>
      </c>
      <c r="AV2" s="139">
        <v>43437</v>
      </c>
      <c r="AW2" s="139">
        <v>43830</v>
      </c>
      <c r="AY2" s="145">
        <v>270</v>
      </c>
      <c r="AZ2" s="146">
        <v>270</v>
      </c>
      <c r="BA2" s="146">
        <v>324</v>
      </c>
      <c r="BB2" s="146">
        <v>270</v>
      </c>
      <c r="BC2" s="146">
        <v>270</v>
      </c>
      <c r="BD2" s="146">
        <v>270</v>
      </c>
      <c r="BE2" s="146">
        <v>270</v>
      </c>
      <c r="BF2" s="146">
        <v>270</v>
      </c>
      <c r="BG2" s="146">
        <v>270</v>
      </c>
      <c r="BH2" s="146">
        <v>235</v>
      </c>
      <c r="BI2" s="146">
        <v>1134</v>
      </c>
      <c r="BJ2" s="146">
        <v>270</v>
      </c>
      <c r="BK2" s="146">
        <v>7263</v>
      </c>
      <c r="BP2" s="183"/>
    </row>
    <row r="3" spans="1:68" x14ac:dyDescent="0.25">
      <c r="A3" s="27" t="s">
        <v>7</v>
      </c>
      <c r="B3" s="9" t="s">
        <v>8</v>
      </c>
      <c r="C3" s="7" t="s">
        <v>9</v>
      </c>
      <c r="D3" s="7" t="s">
        <v>9</v>
      </c>
      <c r="E3" s="7"/>
      <c r="F3" s="163">
        <f>+VLOOKUP($D3,'Pricing Conditions M1 SCBA'!C:F,4,FALSE)</f>
        <v>199</v>
      </c>
      <c r="G3" t="s">
        <v>435</v>
      </c>
      <c r="H3">
        <v>1</v>
      </c>
      <c r="I3" t="s">
        <v>460</v>
      </c>
      <c r="J3" s="164" t="s">
        <v>535</v>
      </c>
      <c r="K3" s="164" t="s">
        <v>524</v>
      </c>
      <c r="L3"/>
      <c r="M3" s="145">
        <f t="shared" ref="M3:M55" si="1">ROUND(Z3*(1+Y3),0)</f>
        <v>199</v>
      </c>
      <c r="N3" s="146">
        <f t="shared" si="0"/>
        <v>199</v>
      </c>
      <c r="O3" s="145">
        <f t="shared" ref="O3:O55" si="2">ROUND(AA3*(1+Y3),0)</f>
        <v>239</v>
      </c>
      <c r="P3" s="146">
        <v>199</v>
      </c>
      <c r="Q3" s="146">
        <v>199</v>
      </c>
      <c r="R3" s="146">
        <v>199</v>
      </c>
      <c r="S3" s="146">
        <v>199</v>
      </c>
      <c r="T3" s="146">
        <v>199</v>
      </c>
      <c r="U3" s="146">
        <v>199</v>
      </c>
      <c r="V3" s="145">
        <f t="shared" ref="V3:V55" si="3">ROUND(AB3*(1+Y3),0)</f>
        <v>174</v>
      </c>
      <c r="W3" s="145">
        <f t="shared" ref="W3:W55" si="4">ROUND(AC3*(1+Y3),0)</f>
        <v>837</v>
      </c>
      <c r="X3" s="146">
        <v>199</v>
      </c>
      <c r="Y3" s="184">
        <v>2.7E-2</v>
      </c>
      <c r="Z3" s="141">
        <f>+VLOOKUP($D3,'Pricing Conditions M1 SCBA'!C:I,7,FALSE)</f>
        <v>194</v>
      </c>
      <c r="AA3" s="141">
        <v>233</v>
      </c>
      <c r="AB3" s="141">
        <v>169</v>
      </c>
      <c r="AC3" s="141">
        <v>815</v>
      </c>
      <c r="AD3" t="s">
        <v>435</v>
      </c>
      <c r="AE3">
        <v>1</v>
      </c>
      <c r="AF3" t="s">
        <v>437</v>
      </c>
      <c r="AG3" s="186">
        <f t="shared" ref="AG3:AG55" si="5">M3/Z3-1</f>
        <v>2.5773195876288568E-2</v>
      </c>
      <c r="AH3" s="186">
        <f t="shared" ref="AH3:AH55" si="6">N3/Z3-1</f>
        <v>2.5773195876288568E-2</v>
      </c>
      <c r="AI3" s="186">
        <f t="shared" ref="AI3:AI55" si="7">O3/AA3-1</f>
        <v>2.5751072961373467E-2</v>
      </c>
      <c r="AJ3" s="186">
        <f t="shared" ref="AJ3:AJ55" si="8">P3/Z3-1</f>
        <v>2.5773195876288568E-2</v>
      </c>
      <c r="AK3" s="186">
        <f t="shared" ref="AK3:AK55" si="9">Q3/Z3-1</f>
        <v>2.5773195876288568E-2</v>
      </c>
      <c r="AL3" s="186">
        <f t="shared" ref="AL3:AL55" si="10">R3/Z3-1</f>
        <v>2.5773195876288568E-2</v>
      </c>
      <c r="AM3" s="186">
        <f t="shared" ref="AM3:AM55" si="11">S3/Z3-1</f>
        <v>2.5773195876288568E-2</v>
      </c>
      <c r="AN3" s="186">
        <f t="shared" ref="AN3:AN55" si="12">T3/Z3-1</f>
        <v>2.5773195876288568E-2</v>
      </c>
      <c r="AO3" s="186">
        <f t="shared" ref="AO3:AO55" si="13">U3/Z3-1</f>
        <v>2.5773195876288568E-2</v>
      </c>
      <c r="AP3" s="186">
        <f t="shared" ref="AP3:AP55" si="14">V3/AB3-1</f>
        <v>2.9585798816567976E-2</v>
      </c>
      <c r="AQ3" s="186">
        <f t="shared" ref="AQ3:AQ55" si="15">W3/AC3-1</f>
        <v>2.6993865030674913E-2</v>
      </c>
      <c r="AR3" s="186">
        <f t="shared" ref="AR3:AR55" si="16">X3/Z3-1</f>
        <v>2.5773195876288568E-2</v>
      </c>
      <c r="AV3" s="139">
        <v>43437</v>
      </c>
      <c r="AW3" s="139">
        <v>43830</v>
      </c>
      <c r="AY3" s="146">
        <v>189</v>
      </c>
      <c r="AZ3" s="146">
        <v>189</v>
      </c>
      <c r="BA3" s="146">
        <v>227</v>
      </c>
      <c r="BB3" s="146">
        <v>189</v>
      </c>
      <c r="BC3" s="146">
        <v>189</v>
      </c>
      <c r="BD3" s="146">
        <v>189</v>
      </c>
      <c r="BE3" s="146">
        <v>189</v>
      </c>
      <c r="BF3" s="146">
        <v>189</v>
      </c>
      <c r="BG3" s="146">
        <v>189</v>
      </c>
      <c r="BH3" s="146">
        <v>164</v>
      </c>
      <c r="BI3" s="146">
        <v>794</v>
      </c>
      <c r="BJ3" s="146">
        <v>189</v>
      </c>
      <c r="BK3" s="146">
        <v>5084</v>
      </c>
    </row>
    <row r="4" spans="1:68" x14ac:dyDescent="0.25">
      <c r="A4" s="27" t="s">
        <v>10</v>
      </c>
      <c r="B4" s="5" t="s">
        <v>11</v>
      </c>
      <c r="C4" s="6" t="s">
        <v>12</v>
      </c>
      <c r="D4" s="6" t="s">
        <v>12</v>
      </c>
      <c r="F4" s="163">
        <f>+VLOOKUP($D4,'Pricing Conditions M1 SCBA'!C:F,4,FALSE)</f>
        <v>284</v>
      </c>
      <c r="G4" t="s">
        <v>435</v>
      </c>
      <c r="H4">
        <v>1</v>
      </c>
      <c r="I4" t="s">
        <v>460</v>
      </c>
      <c r="J4" s="164" t="s">
        <v>535</v>
      </c>
      <c r="K4" s="164" t="s">
        <v>524</v>
      </c>
      <c r="L4"/>
      <c r="M4" s="145">
        <f t="shared" si="1"/>
        <v>284</v>
      </c>
      <c r="N4" s="146">
        <f t="shared" si="0"/>
        <v>284</v>
      </c>
      <c r="O4" s="145">
        <f t="shared" si="2"/>
        <v>341</v>
      </c>
      <c r="P4" s="146">
        <v>284</v>
      </c>
      <c r="Q4" s="146">
        <v>284</v>
      </c>
      <c r="R4" s="146">
        <v>284</v>
      </c>
      <c r="S4" s="146">
        <v>284</v>
      </c>
      <c r="T4" s="146">
        <v>284</v>
      </c>
      <c r="U4" s="146">
        <v>284</v>
      </c>
      <c r="V4" s="145">
        <f t="shared" si="3"/>
        <v>248</v>
      </c>
      <c r="W4" s="145">
        <f t="shared" si="4"/>
        <v>1194</v>
      </c>
      <c r="X4" s="146">
        <v>284</v>
      </c>
      <c r="Y4" s="184">
        <v>2.7E-2</v>
      </c>
      <c r="Z4" s="141">
        <f>+VLOOKUP($D4,'Pricing Conditions M1 SCBA'!C:I,7,FALSE)</f>
        <v>277</v>
      </c>
      <c r="AA4" s="141">
        <v>332</v>
      </c>
      <c r="AB4" s="141">
        <v>241</v>
      </c>
      <c r="AC4" s="141">
        <v>1163</v>
      </c>
      <c r="AD4" t="s">
        <v>435</v>
      </c>
      <c r="AE4">
        <v>1</v>
      </c>
      <c r="AF4" t="s">
        <v>437</v>
      </c>
      <c r="AG4" s="186">
        <f t="shared" si="5"/>
        <v>2.5270758122743597E-2</v>
      </c>
      <c r="AH4" s="186">
        <f t="shared" si="6"/>
        <v>2.5270758122743597E-2</v>
      </c>
      <c r="AI4" s="186">
        <f t="shared" si="7"/>
        <v>2.7108433734939652E-2</v>
      </c>
      <c r="AJ4" s="186">
        <f t="shared" si="8"/>
        <v>2.5270758122743597E-2</v>
      </c>
      <c r="AK4" s="186">
        <f t="shared" si="9"/>
        <v>2.5270758122743597E-2</v>
      </c>
      <c r="AL4" s="186">
        <f t="shared" si="10"/>
        <v>2.5270758122743597E-2</v>
      </c>
      <c r="AM4" s="186">
        <f t="shared" si="11"/>
        <v>2.5270758122743597E-2</v>
      </c>
      <c r="AN4" s="186">
        <f t="shared" si="12"/>
        <v>2.5270758122743597E-2</v>
      </c>
      <c r="AO4" s="186">
        <f t="shared" si="13"/>
        <v>2.5270758122743597E-2</v>
      </c>
      <c r="AP4" s="186">
        <f t="shared" si="14"/>
        <v>2.9045643153526868E-2</v>
      </c>
      <c r="AQ4" s="186">
        <f t="shared" si="15"/>
        <v>2.6655202063628591E-2</v>
      </c>
      <c r="AR4" s="186">
        <f t="shared" si="16"/>
        <v>2.5270758122743597E-2</v>
      </c>
      <c r="AV4" s="139">
        <v>43437</v>
      </c>
      <c r="AW4" s="139">
        <v>43830</v>
      </c>
      <c r="AY4" s="146">
        <v>270</v>
      </c>
      <c r="AZ4" s="146">
        <v>270</v>
      </c>
      <c r="BA4" s="146">
        <v>324</v>
      </c>
      <c r="BB4" s="146">
        <v>270</v>
      </c>
      <c r="BC4" s="146">
        <v>270</v>
      </c>
      <c r="BD4" s="146">
        <v>270</v>
      </c>
      <c r="BE4" s="146">
        <v>270</v>
      </c>
      <c r="BF4" s="146">
        <v>270</v>
      </c>
      <c r="BG4" s="146">
        <v>270</v>
      </c>
      <c r="BH4" s="146">
        <v>235</v>
      </c>
      <c r="BI4" s="146">
        <v>1134</v>
      </c>
      <c r="BJ4" s="146">
        <v>270</v>
      </c>
      <c r="BK4" s="146">
        <v>7263</v>
      </c>
    </row>
    <row r="5" spans="1:68" x14ac:dyDescent="0.25">
      <c r="A5" s="29" t="s">
        <v>29</v>
      </c>
      <c r="B5" s="14" t="s">
        <v>30</v>
      </c>
      <c r="C5" s="7" t="s">
        <v>31</v>
      </c>
      <c r="D5" s="7" t="s">
        <v>31</v>
      </c>
      <c r="F5" s="163">
        <f>+VLOOKUP($D5,'Pricing Conditions M1 SCBA'!C:F,4,FALSE)</f>
        <v>174</v>
      </c>
      <c r="G5" t="s">
        <v>435</v>
      </c>
      <c r="H5">
        <v>1</v>
      </c>
      <c r="I5" t="s">
        <v>460</v>
      </c>
      <c r="J5" s="164" t="s">
        <v>535</v>
      </c>
      <c r="K5" s="164" t="s">
        <v>524</v>
      </c>
      <c r="L5"/>
      <c r="M5" s="145">
        <f t="shared" si="1"/>
        <v>174</v>
      </c>
      <c r="N5" s="146">
        <f t="shared" si="0"/>
        <v>174</v>
      </c>
      <c r="O5" s="145">
        <f t="shared" si="2"/>
        <v>208</v>
      </c>
      <c r="P5" s="146">
        <v>174</v>
      </c>
      <c r="Q5" s="146">
        <v>174</v>
      </c>
      <c r="R5" s="146">
        <v>174</v>
      </c>
      <c r="S5" s="146">
        <v>174</v>
      </c>
      <c r="T5" s="146">
        <v>174</v>
      </c>
      <c r="U5" s="146">
        <v>174</v>
      </c>
      <c r="V5" s="145">
        <f t="shared" si="3"/>
        <v>151</v>
      </c>
      <c r="W5" s="145">
        <f t="shared" si="4"/>
        <v>729</v>
      </c>
      <c r="X5" s="146">
        <v>174</v>
      </c>
      <c r="Y5" s="184">
        <v>2.7E-2</v>
      </c>
      <c r="Z5" s="141">
        <f>+VLOOKUP($D5,'Pricing Conditions M1 SCBA'!C:I,7,FALSE)</f>
        <v>169</v>
      </c>
      <c r="AA5" s="141">
        <v>203</v>
      </c>
      <c r="AB5" s="141">
        <v>147</v>
      </c>
      <c r="AC5" s="141">
        <v>710</v>
      </c>
      <c r="AD5" t="s">
        <v>435</v>
      </c>
      <c r="AE5">
        <v>1</v>
      </c>
      <c r="AF5" t="s">
        <v>437</v>
      </c>
      <c r="AG5" s="186">
        <f t="shared" si="5"/>
        <v>2.9585798816567976E-2</v>
      </c>
      <c r="AH5" s="186">
        <f t="shared" si="6"/>
        <v>2.9585798816567976E-2</v>
      </c>
      <c r="AI5" s="186">
        <f t="shared" si="7"/>
        <v>2.4630541871921263E-2</v>
      </c>
      <c r="AJ5" s="186">
        <f t="shared" si="8"/>
        <v>2.9585798816567976E-2</v>
      </c>
      <c r="AK5" s="186">
        <f t="shared" si="9"/>
        <v>2.9585798816567976E-2</v>
      </c>
      <c r="AL5" s="186">
        <f t="shared" si="10"/>
        <v>2.9585798816567976E-2</v>
      </c>
      <c r="AM5" s="186">
        <f t="shared" si="11"/>
        <v>2.9585798816567976E-2</v>
      </c>
      <c r="AN5" s="186">
        <f t="shared" si="12"/>
        <v>2.9585798816567976E-2</v>
      </c>
      <c r="AO5" s="186">
        <f t="shared" si="13"/>
        <v>2.9585798816567976E-2</v>
      </c>
      <c r="AP5" s="186">
        <f t="shared" si="14"/>
        <v>2.7210884353741527E-2</v>
      </c>
      <c r="AQ5" s="186">
        <f t="shared" si="15"/>
        <v>2.6760563380281654E-2</v>
      </c>
      <c r="AR5" s="186">
        <f t="shared" si="16"/>
        <v>2.9585798816567976E-2</v>
      </c>
      <c r="AV5" s="139">
        <v>43437</v>
      </c>
      <c r="AW5" s="139">
        <v>43830</v>
      </c>
      <c r="AY5" s="146">
        <v>165</v>
      </c>
      <c r="AZ5" s="146">
        <v>165</v>
      </c>
      <c r="BA5" s="146">
        <v>198</v>
      </c>
      <c r="BB5" s="146">
        <v>165</v>
      </c>
      <c r="BC5" s="146">
        <v>165</v>
      </c>
      <c r="BD5" s="146">
        <v>165</v>
      </c>
      <c r="BE5" s="146">
        <v>165</v>
      </c>
      <c r="BF5" s="146">
        <v>165</v>
      </c>
      <c r="BG5" s="146">
        <v>165</v>
      </c>
      <c r="BH5" s="146">
        <v>144</v>
      </c>
      <c r="BI5" s="146">
        <v>693</v>
      </c>
      <c r="BJ5" s="146">
        <v>165</v>
      </c>
      <c r="BK5" s="146">
        <v>4439</v>
      </c>
    </row>
    <row r="6" spans="1:68" x14ac:dyDescent="0.25">
      <c r="A6" s="29" t="s">
        <v>33</v>
      </c>
      <c r="B6" s="15" t="s">
        <v>34</v>
      </c>
      <c r="C6" s="7" t="s">
        <v>35</v>
      </c>
      <c r="D6" s="7" t="s">
        <v>35</v>
      </c>
      <c r="F6" s="163">
        <f>+VLOOKUP($D6,'Pricing Conditions M1 SCBA'!C:F,4,FALSE)</f>
        <v>262</v>
      </c>
      <c r="G6" t="s">
        <v>435</v>
      </c>
      <c r="H6">
        <v>1</v>
      </c>
      <c r="I6" t="s">
        <v>460</v>
      </c>
      <c r="J6" s="164" t="s">
        <v>535</v>
      </c>
      <c r="K6" s="164" t="s">
        <v>524</v>
      </c>
      <c r="L6"/>
      <c r="M6" s="145">
        <f t="shared" si="1"/>
        <v>262</v>
      </c>
      <c r="N6" s="146">
        <f t="shared" si="0"/>
        <v>262</v>
      </c>
      <c r="O6" s="145">
        <f t="shared" si="2"/>
        <v>314</v>
      </c>
      <c r="P6" s="146">
        <v>262</v>
      </c>
      <c r="Q6" s="146">
        <v>262</v>
      </c>
      <c r="R6" s="146">
        <v>262</v>
      </c>
      <c r="S6" s="146">
        <v>262</v>
      </c>
      <c r="T6" s="146">
        <v>262</v>
      </c>
      <c r="U6" s="146">
        <v>262</v>
      </c>
      <c r="V6" s="145">
        <f t="shared" si="3"/>
        <v>228</v>
      </c>
      <c r="W6" s="145">
        <f t="shared" si="4"/>
        <v>1100</v>
      </c>
      <c r="X6" s="146">
        <v>262</v>
      </c>
      <c r="Y6" s="184">
        <v>2.7E-2</v>
      </c>
      <c r="Z6" s="141">
        <f>+VLOOKUP($D6,'Pricing Conditions M1 SCBA'!C:I,7,FALSE)</f>
        <v>255</v>
      </c>
      <c r="AA6" s="141">
        <v>306</v>
      </c>
      <c r="AB6" s="141">
        <v>222</v>
      </c>
      <c r="AC6" s="141">
        <v>1071</v>
      </c>
      <c r="AD6" t="s">
        <v>435</v>
      </c>
      <c r="AE6">
        <v>1</v>
      </c>
      <c r="AF6" t="s">
        <v>437</v>
      </c>
      <c r="AG6" s="186">
        <f t="shared" si="5"/>
        <v>2.7450980392156765E-2</v>
      </c>
      <c r="AH6" s="186">
        <f t="shared" si="6"/>
        <v>2.7450980392156765E-2</v>
      </c>
      <c r="AI6" s="186">
        <f t="shared" si="7"/>
        <v>2.614379084967311E-2</v>
      </c>
      <c r="AJ6" s="186">
        <f t="shared" si="8"/>
        <v>2.7450980392156765E-2</v>
      </c>
      <c r="AK6" s="186">
        <f t="shared" si="9"/>
        <v>2.7450980392156765E-2</v>
      </c>
      <c r="AL6" s="186">
        <f t="shared" si="10"/>
        <v>2.7450980392156765E-2</v>
      </c>
      <c r="AM6" s="186">
        <f t="shared" si="11"/>
        <v>2.7450980392156765E-2</v>
      </c>
      <c r="AN6" s="186">
        <f t="shared" si="12"/>
        <v>2.7450980392156765E-2</v>
      </c>
      <c r="AO6" s="186">
        <f t="shared" si="13"/>
        <v>2.7450980392156765E-2</v>
      </c>
      <c r="AP6" s="186">
        <f t="shared" si="14"/>
        <v>2.7027027027026973E-2</v>
      </c>
      <c r="AQ6" s="186">
        <f t="shared" si="15"/>
        <v>2.7077497665732864E-2</v>
      </c>
      <c r="AR6" s="186">
        <f t="shared" si="16"/>
        <v>2.7450980392156765E-2</v>
      </c>
      <c r="AV6" s="139">
        <v>43437</v>
      </c>
      <c r="AW6" s="139">
        <v>43830</v>
      </c>
      <c r="AY6" s="146">
        <v>248</v>
      </c>
      <c r="AZ6" s="146">
        <v>248</v>
      </c>
      <c r="BA6" s="146">
        <v>298</v>
      </c>
      <c r="BB6" s="146">
        <v>248</v>
      </c>
      <c r="BC6" s="146">
        <v>248</v>
      </c>
      <c r="BD6" s="146">
        <v>248</v>
      </c>
      <c r="BE6" s="146">
        <v>248</v>
      </c>
      <c r="BF6" s="146">
        <v>248</v>
      </c>
      <c r="BG6" s="146">
        <v>248</v>
      </c>
      <c r="BH6" s="146">
        <v>216</v>
      </c>
      <c r="BI6" s="146">
        <v>1042</v>
      </c>
      <c r="BJ6" s="146">
        <v>248</v>
      </c>
      <c r="BK6" s="146">
        <v>6671</v>
      </c>
    </row>
    <row r="7" spans="1:68" x14ac:dyDescent="0.25">
      <c r="A7" s="30" t="s">
        <v>37</v>
      </c>
      <c r="B7" s="15" t="s">
        <v>38</v>
      </c>
      <c r="C7" s="7" t="s">
        <v>39</v>
      </c>
      <c r="D7" s="7" t="s">
        <v>39</v>
      </c>
      <c r="F7" s="163">
        <f>+VLOOKUP($D7,'Pricing Conditions M1 SCBA'!C:F,4,FALSE)</f>
        <v>348</v>
      </c>
      <c r="G7" t="s">
        <v>435</v>
      </c>
      <c r="H7">
        <v>1</v>
      </c>
      <c r="I7" t="s">
        <v>460</v>
      </c>
      <c r="J7" s="164" t="s">
        <v>535</v>
      </c>
      <c r="K7" s="164" t="s">
        <v>524</v>
      </c>
      <c r="L7"/>
      <c r="M7" s="145">
        <f t="shared" si="1"/>
        <v>348</v>
      </c>
      <c r="N7" s="146">
        <f t="shared" si="0"/>
        <v>348</v>
      </c>
      <c r="O7" s="145">
        <f t="shared" si="2"/>
        <v>418</v>
      </c>
      <c r="P7" s="146">
        <v>348</v>
      </c>
      <c r="Q7" s="146">
        <v>348</v>
      </c>
      <c r="R7" s="146">
        <v>348</v>
      </c>
      <c r="S7" s="146">
        <v>348</v>
      </c>
      <c r="T7" s="146">
        <v>348</v>
      </c>
      <c r="U7" s="146">
        <v>348</v>
      </c>
      <c r="V7" s="145">
        <f t="shared" si="3"/>
        <v>303</v>
      </c>
      <c r="W7" s="145">
        <f t="shared" si="4"/>
        <v>1462</v>
      </c>
      <c r="X7" s="146">
        <v>348</v>
      </c>
      <c r="Y7" s="184">
        <v>2.7E-2</v>
      </c>
      <c r="Z7" s="141">
        <f>+VLOOKUP($D7,'Pricing Conditions M1 SCBA'!C:I,7,FALSE)</f>
        <v>339</v>
      </c>
      <c r="AA7" s="141">
        <v>407</v>
      </c>
      <c r="AB7" s="141">
        <v>295</v>
      </c>
      <c r="AC7" s="141">
        <v>1424</v>
      </c>
      <c r="AD7" t="s">
        <v>435</v>
      </c>
      <c r="AE7">
        <v>1</v>
      </c>
      <c r="AF7" t="s">
        <v>437</v>
      </c>
      <c r="AG7" s="186">
        <f t="shared" si="5"/>
        <v>2.6548672566371723E-2</v>
      </c>
      <c r="AH7" s="186">
        <f t="shared" si="6"/>
        <v>2.6548672566371723E-2</v>
      </c>
      <c r="AI7" s="186">
        <f t="shared" si="7"/>
        <v>2.7027027027026973E-2</v>
      </c>
      <c r="AJ7" s="186">
        <f t="shared" si="8"/>
        <v>2.6548672566371723E-2</v>
      </c>
      <c r="AK7" s="186">
        <f t="shared" si="9"/>
        <v>2.6548672566371723E-2</v>
      </c>
      <c r="AL7" s="186">
        <f t="shared" si="10"/>
        <v>2.6548672566371723E-2</v>
      </c>
      <c r="AM7" s="186">
        <f t="shared" si="11"/>
        <v>2.6548672566371723E-2</v>
      </c>
      <c r="AN7" s="186">
        <f t="shared" si="12"/>
        <v>2.6548672566371723E-2</v>
      </c>
      <c r="AO7" s="186">
        <f t="shared" si="13"/>
        <v>2.6548672566371723E-2</v>
      </c>
      <c r="AP7" s="186">
        <f t="shared" si="14"/>
        <v>2.7118644067796627E-2</v>
      </c>
      <c r="AQ7" s="186">
        <f t="shared" si="15"/>
        <v>2.6685393258427004E-2</v>
      </c>
      <c r="AR7" s="186">
        <f t="shared" si="16"/>
        <v>2.6548672566371723E-2</v>
      </c>
      <c r="AV7" s="139">
        <v>43437</v>
      </c>
      <c r="AW7" s="139">
        <v>43830</v>
      </c>
      <c r="AY7" s="146">
        <v>330</v>
      </c>
      <c r="AZ7" s="146">
        <v>330</v>
      </c>
      <c r="BA7" s="146">
        <v>396</v>
      </c>
      <c r="BB7" s="146">
        <v>330</v>
      </c>
      <c r="BC7" s="146">
        <v>330</v>
      </c>
      <c r="BD7" s="146">
        <v>330</v>
      </c>
      <c r="BE7" s="146">
        <v>330</v>
      </c>
      <c r="BF7" s="146">
        <v>330</v>
      </c>
      <c r="BG7" s="146">
        <v>330</v>
      </c>
      <c r="BH7" s="146">
        <v>287</v>
      </c>
      <c r="BI7" s="146">
        <v>1386</v>
      </c>
      <c r="BJ7" s="146">
        <v>330</v>
      </c>
      <c r="BK7" s="146">
        <v>8877</v>
      </c>
    </row>
    <row r="8" spans="1:68" x14ac:dyDescent="0.25">
      <c r="A8" s="29" t="s">
        <v>57</v>
      </c>
      <c r="B8" s="16" t="s">
        <v>58</v>
      </c>
      <c r="C8" s="7" t="s">
        <v>59</v>
      </c>
      <c r="D8" s="7" t="s">
        <v>59</v>
      </c>
      <c r="F8" s="163">
        <f>+VLOOKUP($D8,'Pricing Conditions M1 SCBA'!C:F,4,FALSE)</f>
        <v>272</v>
      </c>
      <c r="G8" t="s">
        <v>435</v>
      </c>
      <c r="H8">
        <v>1</v>
      </c>
      <c r="I8" t="s">
        <v>460</v>
      </c>
      <c r="J8" s="164" t="s">
        <v>535</v>
      </c>
      <c r="K8" s="164" t="s">
        <v>524</v>
      </c>
      <c r="L8"/>
      <c r="M8" s="145">
        <f t="shared" si="1"/>
        <v>272</v>
      </c>
      <c r="N8" s="146">
        <f t="shared" si="0"/>
        <v>272</v>
      </c>
      <c r="O8" s="145">
        <f t="shared" si="2"/>
        <v>327</v>
      </c>
      <c r="P8" s="146">
        <v>272</v>
      </c>
      <c r="Q8" s="146">
        <v>272</v>
      </c>
      <c r="R8" s="146">
        <v>272</v>
      </c>
      <c r="S8" s="146">
        <v>272</v>
      </c>
      <c r="T8" s="146">
        <v>272</v>
      </c>
      <c r="U8" s="146">
        <v>272</v>
      </c>
      <c r="V8" s="145">
        <f t="shared" si="3"/>
        <v>236</v>
      </c>
      <c r="W8" s="145">
        <f t="shared" si="4"/>
        <v>1142</v>
      </c>
      <c r="X8" s="146">
        <v>272</v>
      </c>
      <c r="Y8" s="190">
        <v>0.05</v>
      </c>
      <c r="Z8" s="141">
        <f>+VLOOKUP($D8,'Pricing Conditions M1 SCBA'!C:I,7,FALSE)</f>
        <v>259</v>
      </c>
      <c r="AA8" s="141">
        <v>311</v>
      </c>
      <c r="AB8" s="141">
        <v>225</v>
      </c>
      <c r="AC8" s="141">
        <v>1088</v>
      </c>
      <c r="AD8" t="s">
        <v>435</v>
      </c>
      <c r="AE8">
        <v>1</v>
      </c>
      <c r="AF8" t="s">
        <v>437</v>
      </c>
      <c r="AG8" s="186">
        <f t="shared" si="5"/>
        <v>5.0193050193050093E-2</v>
      </c>
      <c r="AH8" s="186">
        <f t="shared" si="6"/>
        <v>5.0193050193050093E-2</v>
      </c>
      <c r="AI8" s="186">
        <f t="shared" si="7"/>
        <v>5.1446945337620509E-2</v>
      </c>
      <c r="AJ8" s="186">
        <f t="shared" si="8"/>
        <v>5.0193050193050093E-2</v>
      </c>
      <c r="AK8" s="186">
        <f t="shared" si="9"/>
        <v>5.0193050193050093E-2</v>
      </c>
      <c r="AL8" s="186">
        <f t="shared" si="10"/>
        <v>5.0193050193050093E-2</v>
      </c>
      <c r="AM8" s="186">
        <f t="shared" si="11"/>
        <v>5.0193050193050093E-2</v>
      </c>
      <c r="AN8" s="186">
        <f t="shared" si="12"/>
        <v>5.0193050193050093E-2</v>
      </c>
      <c r="AO8" s="186">
        <f t="shared" si="13"/>
        <v>5.0193050193050093E-2</v>
      </c>
      <c r="AP8" s="186">
        <f t="shared" si="14"/>
        <v>4.8888888888888982E-2</v>
      </c>
      <c r="AQ8" s="186">
        <f t="shared" si="15"/>
        <v>4.9632352941176405E-2</v>
      </c>
      <c r="AR8" s="186">
        <f t="shared" si="16"/>
        <v>5.0193050193050093E-2</v>
      </c>
      <c r="AV8" s="139">
        <v>43437</v>
      </c>
      <c r="AW8" s="139">
        <v>43830</v>
      </c>
      <c r="AY8" s="146">
        <v>252</v>
      </c>
      <c r="AZ8" s="146">
        <v>252</v>
      </c>
      <c r="BA8" s="146">
        <v>302</v>
      </c>
      <c r="BB8" s="146">
        <v>252</v>
      </c>
      <c r="BC8" s="146">
        <v>252</v>
      </c>
      <c r="BD8" s="146">
        <v>252</v>
      </c>
      <c r="BE8" s="146">
        <v>252</v>
      </c>
      <c r="BF8" s="146">
        <v>252</v>
      </c>
      <c r="BG8" s="146">
        <v>252</v>
      </c>
      <c r="BH8" s="146">
        <v>219</v>
      </c>
      <c r="BI8" s="146">
        <v>1058</v>
      </c>
      <c r="BJ8" s="146">
        <v>252</v>
      </c>
      <c r="BK8" s="146">
        <v>6779</v>
      </c>
    </row>
    <row r="9" spans="1:68" x14ac:dyDescent="0.25">
      <c r="A9" s="29" t="s">
        <v>61</v>
      </c>
      <c r="B9" s="16" t="s">
        <v>62</v>
      </c>
      <c r="C9" s="7" t="s">
        <v>63</v>
      </c>
      <c r="D9" s="7" t="s">
        <v>63</v>
      </c>
      <c r="F9" s="163">
        <f>+VLOOKUP($D9,'Pricing Conditions M1 SCBA'!C:F,4,FALSE)</f>
        <v>410</v>
      </c>
      <c r="G9" t="s">
        <v>435</v>
      </c>
      <c r="H9">
        <v>1</v>
      </c>
      <c r="I9" t="s">
        <v>460</v>
      </c>
      <c r="J9" s="164" t="s">
        <v>535</v>
      </c>
      <c r="K9" s="164" t="s">
        <v>524</v>
      </c>
      <c r="L9"/>
      <c r="M9" s="145">
        <f t="shared" si="1"/>
        <v>410</v>
      </c>
      <c r="N9" s="146">
        <f t="shared" si="0"/>
        <v>410</v>
      </c>
      <c r="O9" s="145">
        <f t="shared" si="2"/>
        <v>491</v>
      </c>
      <c r="P9" s="146">
        <v>410</v>
      </c>
      <c r="Q9" s="146">
        <v>410</v>
      </c>
      <c r="R9" s="146">
        <v>410</v>
      </c>
      <c r="S9" s="146">
        <v>410</v>
      </c>
      <c r="T9" s="146">
        <v>410</v>
      </c>
      <c r="U9" s="146">
        <v>410</v>
      </c>
      <c r="V9" s="145">
        <f t="shared" si="3"/>
        <v>356</v>
      </c>
      <c r="W9" s="145">
        <f t="shared" si="4"/>
        <v>1720</v>
      </c>
      <c r="X9" s="146">
        <v>410</v>
      </c>
      <c r="Y9" s="190">
        <v>0.05</v>
      </c>
      <c r="Z9" s="141">
        <f>+VLOOKUP($D9,'Pricing Conditions M1 SCBA'!C:I,7,FALSE)</f>
        <v>390</v>
      </c>
      <c r="AA9" s="141">
        <v>468</v>
      </c>
      <c r="AB9" s="141">
        <v>339</v>
      </c>
      <c r="AC9" s="141">
        <v>1638</v>
      </c>
      <c r="AD9" t="s">
        <v>435</v>
      </c>
      <c r="AE9">
        <v>1</v>
      </c>
      <c r="AF9" t="s">
        <v>437</v>
      </c>
      <c r="AG9" s="186">
        <f t="shared" si="5"/>
        <v>5.1282051282051322E-2</v>
      </c>
      <c r="AH9" s="186">
        <f t="shared" si="6"/>
        <v>5.1282051282051322E-2</v>
      </c>
      <c r="AI9" s="186">
        <f t="shared" si="7"/>
        <v>4.9145299145299193E-2</v>
      </c>
      <c r="AJ9" s="186">
        <f t="shared" si="8"/>
        <v>5.1282051282051322E-2</v>
      </c>
      <c r="AK9" s="186">
        <f t="shared" si="9"/>
        <v>5.1282051282051322E-2</v>
      </c>
      <c r="AL9" s="186">
        <f t="shared" si="10"/>
        <v>5.1282051282051322E-2</v>
      </c>
      <c r="AM9" s="186">
        <f t="shared" si="11"/>
        <v>5.1282051282051322E-2</v>
      </c>
      <c r="AN9" s="186">
        <f t="shared" si="12"/>
        <v>5.1282051282051322E-2</v>
      </c>
      <c r="AO9" s="186">
        <f t="shared" si="13"/>
        <v>5.1282051282051322E-2</v>
      </c>
      <c r="AP9" s="186">
        <f t="shared" si="14"/>
        <v>5.0147492625368661E-2</v>
      </c>
      <c r="AQ9" s="186">
        <f t="shared" si="15"/>
        <v>5.0061050061050105E-2</v>
      </c>
      <c r="AR9" s="186">
        <f t="shared" si="16"/>
        <v>5.1282051282051322E-2</v>
      </c>
      <c r="AV9" s="139">
        <v>43437</v>
      </c>
      <c r="AW9" s="139">
        <v>43830</v>
      </c>
      <c r="AY9" s="146">
        <v>380</v>
      </c>
      <c r="AZ9" s="146">
        <v>380</v>
      </c>
      <c r="BA9" s="146">
        <v>456</v>
      </c>
      <c r="BB9" s="146">
        <v>380</v>
      </c>
      <c r="BC9" s="146">
        <v>380</v>
      </c>
      <c r="BD9" s="146">
        <v>380</v>
      </c>
      <c r="BE9" s="146">
        <v>380</v>
      </c>
      <c r="BF9" s="146">
        <v>380</v>
      </c>
      <c r="BG9" s="146">
        <v>380</v>
      </c>
      <c r="BH9" s="146">
        <v>331</v>
      </c>
      <c r="BI9" s="146">
        <v>1596</v>
      </c>
      <c r="BJ9" s="146">
        <v>380</v>
      </c>
      <c r="BK9" s="146">
        <v>10222</v>
      </c>
    </row>
    <row r="10" spans="1:68" x14ac:dyDescent="0.25">
      <c r="A10" s="31" t="s">
        <v>65</v>
      </c>
      <c r="B10" s="16" t="s">
        <v>66</v>
      </c>
      <c r="C10" s="6" t="s">
        <v>67</v>
      </c>
      <c r="D10" s="6" t="s">
        <v>67</v>
      </c>
      <c r="F10" s="163">
        <f>+VLOOKUP($D10,'Pricing Conditions M1 SCBA'!C:F,4,FALSE)</f>
        <v>485</v>
      </c>
      <c r="G10" t="s">
        <v>435</v>
      </c>
      <c r="H10">
        <v>1</v>
      </c>
      <c r="I10" t="s">
        <v>460</v>
      </c>
      <c r="J10" s="164" t="s">
        <v>535</v>
      </c>
      <c r="K10" s="164" t="s">
        <v>524</v>
      </c>
      <c r="L10"/>
      <c r="M10" s="145">
        <f t="shared" si="1"/>
        <v>485</v>
      </c>
      <c r="N10" s="146">
        <f t="shared" si="0"/>
        <v>485</v>
      </c>
      <c r="O10" s="145">
        <f t="shared" si="2"/>
        <v>582</v>
      </c>
      <c r="P10" s="146">
        <v>485</v>
      </c>
      <c r="Q10" s="146">
        <v>485</v>
      </c>
      <c r="R10" s="146">
        <v>485</v>
      </c>
      <c r="S10" s="146">
        <v>485</v>
      </c>
      <c r="T10" s="146">
        <v>485</v>
      </c>
      <c r="U10" s="146">
        <v>485</v>
      </c>
      <c r="V10" s="145">
        <f t="shared" si="3"/>
        <v>422</v>
      </c>
      <c r="W10" s="145">
        <f t="shared" si="4"/>
        <v>2037</v>
      </c>
      <c r="X10" s="146">
        <v>485</v>
      </c>
      <c r="Y10" s="190">
        <v>0.05</v>
      </c>
      <c r="Z10" s="141">
        <f>+VLOOKUP($D10,'Pricing Conditions M1 SCBA'!C:I,7,FALSE)</f>
        <v>462</v>
      </c>
      <c r="AA10" s="141">
        <v>554</v>
      </c>
      <c r="AB10" s="141">
        <v>402</v>
      </c>
      <c r="AC10" s="141">
        <v>1940</v>
      </c>
      <c r="AD10" t="s">
        <v>435</v>
      </c>
      <c r="AE10">
        <v>1</v>
      </c>
      <c r="AF10" t="s">
        <v>437</v>
      </c>
      <c r="AG10" s="186">
        <f t="shared" si="5"/>
        <v>4.9783549783549708E-2</v>
      </c>
      <c r="AH10" s="186">
        <f t="shared" si="6"/>
        <v>4.9783549783549708E-2</v>
      </c>
      <c r="AI10" s="186">
        <f t="shared" si="7"/>
        <v>5.0541516245487417E-2</v>
      </c>
      <c r="AJ10" s="186">
        <f t="shared" si="8"/>
        <v>4.9783549783549708E-2</v>
      </c>
      <c r="AK10" s="186">
        <f t="shared" si="9"/>
        <v>4.9783549783549708E-2</v>
      </c>
      <c r="AL10" s="186">
        <f t="shared" si="10"/>
        <v>4.9783549783549708E-2</v>
      </c>
      <c r="AM10" s="186">
        <f t="shared" si="11"/>
        <v>4.9783549783549708E-2</v>
      </c>
      <c r="AN10" s="186">
        <f t="shared" si="12"/>
        <v>4.9783549783549708E-2</v>
      </c>
      <c r="AO10" s="186">
        <f t="shared" si="13"/>
        <v>4.9783549783549708E-2</v>
      </c>
      <c r="AP10" s="186">
        <f t="shared" si="14"/>
        <v>4.9751243781094523E-2</v>
      </c>
      <c r="AQ10" s="186">
        <f t="shared" si="15"/>
        <v>5.0000000000000044E-2</v>
      </c>
      <c r="AR10" s="186">
        <f t="shared" si="16"/>
        <v>4.9783549783549708E-2</v>
      </c>
      <c r="AV10" s="139">
        <v>43437</v>
      </c>
      <c r="AW10" s="139">
        <v>43830</v>
      </c>
      <c r="AY10" s="146">
        <v>450</v>
      </c>
      <c r="AZ10" s="146">
        <v>450</v>
      </c>
      <c r="BA10" s="146">
        <v>540</v>
      </c>
      <c r="BB10" s="146">
        <v>450</v>
      </c>
      <c r="BC10" s="146">
        <v>450</v>
      </c>
      <c r="BD10" s="146">
        <v>450</v>
      </c>
      <c r="BE10" s="146">
        <v>450</v>
      </c>
      <c r="BF10" s="146">
        <v>450</v>
      </c>
      <c r="BG10" s="146">
        <v>450</v>
      </c>
      <c r="BH10" s="146">
        <v>392</v>
      </c>
      <c r="BI10" s="146">
        <v>1890</v>
      </c>
      <c r="BJ10" s="146">
        <v>450</v>
      </c>
      <c r="BK10" s="146">
        <v>12105</v>
      </c>
    </row>
    <row r="11" spans="1:68" x14ac:dyDescent="0.25">
      <c r="A11" s="29" t="s">
        <v>72</v>
      </c>
      <c r="B11" s="14" t="s">
        <v>73</v>
      </c>
      <c r="C11" s="7" t="s">
        <v>74</v>
      </c>
      <c r="D11" s="7" t="s">
        <v>74</v>
      </c>
      <c r="F11" s="163">
        <f>+VLOOKUP($D11,'Pricing Conditions M1 SCBA'!C:F,4,FALSE)</f>
        <v>17</v>
      </c>
      <c r="G11" t="s">
        <v>435</v>
      </c>
      <c r="H11">
        <v>1</v>
      </c>
      <c r="I11" t="s">
        <v>460</v>
      </c>
      <c r="J11" s="164" t="s">
        <v>535</v>
      </c>
      <c r="K11" s="164" t="s">
        <v>524</v>
      </c>
      <c r="L11"/>
      <c r="M11" s="145">
        <f t="shared" si="1"/>
        <v>17</v>
      </c>
      <c r="N11" s="146">
        <f t="shared" si="0"/>
        <v>17</v>
      </c>
      <c r="O11" s="145">
        <f t="shared" si="2"/>
        <v>21</v>
      </c>
      <c r="P11" s="146">
        <v>17</v>
      </c>
      <c r="Q11" s="146">
        <v>17</v>
      </c>
      <c r="R11" s="146">
        <v>17</v>
      </c>
      <c r="S11" s="146">
        <v>17</v>
      </c>
      <c r="T11" s="146">
        <v>17</v>
      </c>
      <c r="U11" s="146">
        <v>17</v>
      </c>
      <c r="V11" s="145">
        <f t="shared" si="3"/>
        <v>15</v>
      </c>
      <c r="W11" s="145">
        <f t="shared" si="4"/>
        <v>73</v>
      </c>
      <c r="X11" s="146">
        <v>17</v>
      </c>
      <c r="Y11" s="184">
        <v>2.7E-2</v>
      </c>
      <c r="Z11" s="141">
        <f>+VLOOKUP($D11,'Pricing Conditions M1 SCBA'!C:I,7,FALSE)</f>
        <v>17</v>
      </c>
      <c r="AA11" s="141">
        <v>20</v>
      </c>
      <c r="AB11" s="141">
        <v>15</v>
      </c>
      <c r="AC11" s="141">
        <v>71</v>
      </c>
      <c r="AD11" t="s">
        <v>435</v>
      </c>
      <c r="AE11">
        <v>1</v>
      </c>
      <c r="AF11" t="s">
        <v>437</v>
      </c>
      <c r="AG11" s="186">
        <f t="shared" si="5"/>
        <v>0</v>
      </c>
      <c r="AH11" s="186">
        <f t="shared" si="6"/>
        <v>0</v>
      </c>
      <c r="AI11" s="186">
        <f t="shared" si="7"/>
        <v>5.0000000000000044E-2</v>
      </c>
      <c r="AJ11" s="186">
        <f t="shared" si="8"/>
        <v>0</v>
      </c>
      <c r="AK11" s="186">
        <f t="shared" si="9"/>
        <v>0</v>
      </c>
      <c r="AL11" s="186">
        <f t="shared" si="10"/>
        <v>0</v>
      </c>
      <c r="AM11" s="186">
        <f t="shared" si="11"/>
        <v>0</v>
      </c>
      <c r="AN11" s="186">
        <f t="shared" si="12"/>
        <v>0</v>
      </c>
      <c r="AO11" s="186">
        <f t="shared" si="13"/>
        <v>0</v>
      </c>
      <c r="AP11" s="186">
        <f t="shared" si="14"/>
        <v>0</v>
      </c>
      <c r="AQ11" s="186">
        <f t="shared" si="15"/>
        <v>2.8169014084507005E-2</v>
      </c>
      <c r="AR11" s="186">
        <f t="shared" si="16"/>
        <v>0</v>
      </c>
      <c r="AV11" s="139">
        <v>43437</v>
      </c>
      <c r="AW11" s="139">
        <v>43830</v>
      </c>
      <c r="AY11" s="146">
        <v>17</v>
      </c>
      <c r="AZ11" s="146">
        <v>17</v>
      </c>
      <c r="BA11" s="146">
        <v>20</v>
      </c>
      <c r="BB11" s="146">
        <v>17</v>
      </c>
      <c r="BC11" s="146">
        <v>17</v>
      </c>
      <c r="BD11" s="146">
        <v>17</v>
      </c>
      <c r="BE11" s="146">
        <v>17</v>
      </c>
      <c r="BF11" s="146">
        <v>17</v>
      </c>
      <c r="BG11" s="146">
        <v>17</v>
      </c>
      <c r="BH11" s="146">
        <v>15</v>
      </c>
      <c r="BI11" s="146">
        <v>71</v>
      </c>
      <c r="BJ11" s="146">
        <v>17</v>
      </c>
      <c r="BK11" s="146">
        <v>457</v>
      </c>
    </row>
    <row r="12" spans="1:68" x14ac:dyDescent="0.25">
      <c r="A12" s="29" t="s">
        <v>76</v>
      </c>
      <c r="B12" s="14" t="s">
        <v>77</v>
      </c>
      <c r="C12" s="6" t="s">
        <v>78</v>
      </c>
      <c r="D12" s="6" t="s">
        <v>78</v>
      </c>
      <c r="F12" s="163">
        <f>+VLOOKUP($D12,'Pricing Conditions M1 SCBA'!C:F,4,FALSE)</f>
        <v>146</v>
      </c>
      <c r="G12" t="s">
        <v>435</v>
      </c>
      <c r="H12">
        <v>1</v>
      </c>
      <c r="I12" t="s">
        <v>460</v>
      </c>
      <c r="J12" s="164" t="s">
        <v>535</v>
      </c>
      <c r="K12" s="164" t="s">
        <v>524</v>
      </c>
      <c r="L12"/>
      <c r="M12" s="145">
        <f t="shared" si="1"/>
        <v>146</v>
      </c>
      <c r="N12" s="146">
        <f t="shared" si="0"/>
        <v>146</v>
      </c>
      <c r="O12" s="145">
        <f t="shared" si="2"/>
        <v>175</v>
      </c>
      <c r="P12" s="146">
        <v>146</v>
      </c>
      <c r="Q12" s="146">
        <v>146</v>
      </c>
      <c r="R12" s="146">
        <v>146</v>
      </c>
      <c r="S12" s="146">
        <v>146</v>
      </c>
      <c r="T12" s="146">
        <v>146</v>
      </c>
      <c r="U12" s="146">
        <v>146</v>
      </c>
      <c r="V12" s="145">
        <f t="shared" si="3"/>
        <v>127</v>
      </c>
      <c r="W12" s="145">
        <f t="shared" si="4"/>
        <v>612</v>
      </c>
      <c r="X12" s="146">
        <v>146</v>
      </c>
      <c r="Y12" s="184">
        <v>2.7E-2</v>
      </c>
      <c r="Z12" s="141">
        <f>+VLOOKUP($D12,'Pricing Conditions M1 SCBA'!C:I,7,FALSE)</f>
        <v>142</v>
      </c>
      <c r="AA12" s="141">
        <v>170</v>
      </c>
      <c r="AB12" s="141">
        <v>124</v>
      </c>
      <c r="AC12" s="141">
        <v>596</v>
      </c>
      <c r="AD12" t="s">
        <v>435</v>
      </c>
      <c r="AE12">
        <v>1</v>
      </c>
      <c r="AF12" t="s">
        <v>437</v>
      </c>
      <c r="AG12" s="186">
        <f t="shared" si="5"/>
        <v>2.8169014084507005E-2</v>
      </c>
      <c r="AH12" s="186">
        <f t="shared" si="6"/>
        <v>2.8169014084507005E-2</v>
      </c>
      <c r="AI12" s="186">
        <f t="shared" si="7"/>
        <v>2.9411764705882248E-2</v>
      </c>
      <c r="AJ12" s="186">
        <f t="shared" si="8"/>
        <v>2.8169014084507005E-2</v>
      </c>
      <c r="AK12" s="186">
        <f t="shared" si="9"/>
        <v>2.8169014084507005E-2</v>
      </c>
      <c r="AL12" s="186">
        <f t="shared" si="10"/>
        <v>2.8169014084507005E-2</v>
      </c>
      <c r="AM12" s="186">
        <f t="shared" si="11"/>
        <v>2.8169014084507005E-2</v>
      </c>
      <c r="AN12" s="186">
        <f t="shared" si="12"/>
        <v>2.8169014084507005E-2</v>
      </c>
      <c r="AO12" s="186">
        <f t="shared" si="13"/>
        <v>2.8169014084507005E-2</v>
      </c>
      <c r="AP12" s="186">
        <f t="shared" si="14"/>
        <v>2.4193548387096753E-2</v>
      </c>
      <c r="AQ12" s="186">
        <f t="shared" si="15"/>
        <v>2.6845637583892579E-2</v>
      </c>
      <c r="AR12" s="186">
        <f t="shared" si="16"/>
        <v>2.8169014084507005E-2</v>
      </c>
      <c r="AV12" s="139">
        <v>43437</v>
      </c>
      <c r="AW12" s="139">
        <v>43830</v>
      </c>
      <c r="AY12" s="146">
        <v>138</v>
      </c>
      <c r="AZ12" s="146">
        <v>138</v>
      </c>
      <c r="BA12" s="146">
        <v>166</v>
      </c>
      <c r="BB12" s="146">
        <v>138</v>
      </c>
      <c r="BC12" s="146">
        <v>138</v>
      </c>
      <c r="BD12" s="146">
        <v>138</v>
      </c>
      <c r="BE12" s="146">
        <v>138</v>
      </c>
      <c r="BF12" s="146">
        <v>138</v>
      </c>
      <c r="BG12" s="146">
        <v>138</v>
      </c>
      <c r="BH12" s="146">
        <v>120</v>
      </c>
      <c r="BI12" s="146">
        <v>580</v>
      </c>
      <c r="BJ12" s="146">
        <v>138</v>
      </c>
      <c r="BK12" s="146">
        <v>3712</v>
      </c>
    </row>
    <row r="13" spans="1:68" x14ac:dyDescent="0.25">
      <c r="A13" s="29" t="s">
        <v>80</v>
      </c>
      <c r="B13" s="14" t="s">
        <v>81</v>
      </c>
      <c r="C13" s="6" t="s">
        <v>82</v>
      </c>
      <c r="D13" s="6" t="s">
        <v>82</v>
      </c>
      <c r="F13" s="163">
        <f>+VLOOKUP($D13,'Pricing Conditions M1 SCBA'!C:F,4,FALSE)</f>
        <v>52</v>
      </c>
      <c r="G13" t="s">
        <v>435</v>
      </c>
      <c r="H13">
        <v>1</v>
      </c>
      <c r="I13" t="s">
        <v>460</v>
      </c>
      <c r="J13" s="164" t="s">
        <v>535</v>
      </c>
      <c r="K13" s="164" t="s">
        <v>524</v>
      </c>
      <c r="L13"/>
      <c r="M13" s="145">
        <f t="shared" si="1"/>
        <v>52</v>
      </c>
      <c r="N13" s="146">
        <f t="shared" si="0"/>
        <v>52</v>
      </c>
      <c r="O13" s="145">
        <f t="shared" si="2"/>
        <v>63</v>
      </c>
      <c r="P13" s="146">
        <v>52</v>
      </c>
      <c r="Q13" s="146">
        <v>52</v>
      </c>
      <c r="R13" s="146">
        <v>52</v>
      </c>
      <c r="S13" s="146">
        <v>52</v>
      </c>
      <c r="T13" s="146">
        <v>52</v>
      </c>
      <c r="U13" s="146">
        <v>52</v>
      </c>
      <c r="V13" s="145">
        <f t="shared" si="3"/>
        <v>45</v>
      </c>
      <c r="W13" s="145">
        <f t="shared" si="4"/>
        <v>220</v>
      </c>
      <c r="X13" s="146">
        <v>52</v>
      </c>
      <c r="Y13" s="184">
        <v>2.7E-2</v>
      </c>
      <c r="Z13" s="141">
        <f>+VLOOKUP($D13,'Pricing Conditions M1 SCBA'!C:I,7,FALSE)</f>
        <v>51</v>
      </c>
      <c r="AA13" s="141">
        <v>61</v>
      </c>
      <c r="AB13" s="141">
        <v>44</v>
      </c>
      <c r="AC13" s="141">
        <v>214</v>
      </c>
      <c r="AD13" t="s">
        <v>435</v>
      </c>
      <c r="AE13">
        <v>1</v>
      </c>
      <c r="AF13" t="s">
        <v>437</v>
      </c>
      <c r="AG13" s="186">
        <f t="shared" si="5"/>
        <v>1.9607843137254832E-2</v>
      </c>
      <c r="AH13" s="186">
        <f t="shared" si="6"/>
        <v>1.9607843137254832E-2</v>
      </c>
      <c r="AI13" s="186">
        <f t="shared" si="7"/>
        <v>3.2786885245901676E-2</v>
      </c>
      <c r="AJ13" s="186">
        <f t="shared" si="8"/>
        <v>1.9607843137254832E-2</v>
      </c>
      <c r="AK13" s="186">
        <f t="shared" si="9"/>
        <v>1.9607843137254832E-2</v>
      </c>
      <c r="AL13" s="186">
        <f t="shared" si="10"/>
        <v>1.9607843137254832E-2</v>
      </c>
      <c r="AM13" s="186">
        <f t="shared" si="11"/>
        <v>1.9607843137254832E-2</v>
      </c>
      <c r="AN13" s="186">
        <f t="shared" si="12"/>
        <v>1.9607843137254832E-2</v>
      </c>
      <c r="AO13" s="186">
        <f t="shared" si="13"/>
        <v>1.9607843137254832E-2</v>
      </c>
      <c r="AP13" s="186">
        <f t="shared" si="14"/>
        <v>2.2727272727272707E-2</v>
      </c>
      <c r="AQ13" s="186">
        <f t="shared" si="15"/>
        <v>2.8037383177569986E-2</v>
      </c>
      <c r="AR13" s="186">
        <f t="shared" si="16"/>
        <v>1.9607843137254832E-2</v>
      </c>
      <c r="AV13" s="139">
        <v>43437</v>
      </c>
      <c r="AW13" s="139">
        <v>43830</v>
      </c>
      <c r="AY13" s="146">
        <v>50</v>
      </c>
      <c r="AZ13" s="146">
        <v>50</v>
      </c>
      <c r="BA13" s="146">
        <v>60</v>
      </c>
      <c r="BB13" s="146">
        <v>50</v>
      </c>
      <c r="BC13" s="146">
        <v>50</v>
      </c>
      <c r="BD13" s="146">
        <v>50</v>
      </c>
      <c r="BE13" s="146">
        <v>50</v>
      </c>
      <c r="BF13" s="146">
        <v>50</v>
      </c>
      <c r="BG13" s="146">
        <v>50</v>
      </c>
      <c r="BH13" s="146">
        <v>44</v>
      </c>
      <c r="BI13" s="146">
        <v>210</v>
      </c>
      <c r="BJ13" s="146">
        <v>50</v>
      </c>
      <c r="BK13" s="146">
        <v>1345</v>
      </c>
    </row>
    <row r="14" spans="1:68" x14ac:dyDescent="0.25">
      <c r="A14" s="29" t="s">
        <v>117</v>
      </c>
      <c r="B14" s="14" t="s">
        <v>118</v>
      </c>
      <c r="C14" s="7" t="s">
        <v>119</v>
      </c>
      <c r="D14" s="7" t="s">
        <v>119</v>
      </c>
      <c r="E14" s="146"/>
      <c r="F14" s="163">
        <f>+VLOOKUP($D14,'Pricing Conditions M1 SCBA'!C:F,4,FALSE)</f>
        <v>35</v>
      </c>
      <c r="G14" t="s">
        <v>435</v>
      </c>
      <c r="H14">
        <v>1</v>
      </c>
      <c r="I14" t="s">
        <v>460</v>
      </c>
      <c r="J14" s="164" t="s">
        <v>535</v>
      </c>
      <c r="K14" s="164" t="s">
        <v>524</v>
      </c>
      <c r="L14"/>
      <c r="M14" s="145">
        <f t="shared" si="1"/>
        <v>35</v>
      </c>
      <c r="N14" s="146">
        <f t="shared" si="0"/>
        <v>35</v>
      </c>
      <c r="O14" s="145">
        <f t="shared" si="2"/>
        <v>42</v>
      </c>
      <c r="P14" s="146">
        <v>35</v>
      </c>
      <c r="Q14" s="146">
        <v>35</v>
      </c>
      <c r="R14" s="146">
        <v>35</v>
      </c>
      <c r="S14" s="146">
        <v>35</v>
      </c>
      <c r="T14" s="146">
        <v>35</v>
      </c>
      <c r="U14" s="146">
        <v>35</v>
      </c>
      <c r="V14" s="145">
        <f t="shared" si="3"/>
        <v>31</v>
      </c>
      <c r="W14" s="145">
        <f t="shared" si="4"/>
        <v>147</v>
      </c>
      <c r="X14" s="146">
        <v>35</v>
      </c>
      <c r="Y14" s="184">
        <v>2.7E-2</v>
      </c>
      <c r="Z14" s="141">
        <f>+VLOOKUP($D14,'Pricing Conditions M1 SCBA'!C:I,7,FALSE)</f>
        <v>34</v>
      </c>
      <c r="AA14" s="141">
        <v>41</v>
      </c>
      <c r="AB14" s="141">
        <v>30</v>
      </c>
      <c r="AC14" s="141">
        <v>143</v>
      </c>
      <c r="AD14" t="s">
        <v>435</v>
      </c>
      <c r="AE14">
        <v>1</v>
      </c>
      <c r="AF14" t="s">
        <v>437</v>
      </c>
      <c r="AG14" s="186">
        <f t="shared" si="5"/>
        <v>2.9411764705882248E-2</v>
      </c>
      <c r="AH14" s="186">
        <f t="shared" si="6"/>
        <v>2.9411764705882248E-2</v>
      </c>
      <c r="AI14" s="186">
        <f t="shared" si="7"/>
        <v>2.4390243902439046E-2</v>
      </c>
      <c r="AJ14" s="186">
        <f t="shared" si="8"/>
        <v>2.9411764705882248E-2</v>
      </c>
      <c r="AK14" s="186">
        <f t="shared" si="9"/>
        <v>2.9411764705882248E-2</v>
      </c>
      <c r="AL14" s="186">
        <f t="shared" si="10"/>
        <v>2.9411764705882248E-2</v>
      </c>
      <c r="AM14" s="186">
        <f t="shared" si="11"/>
        <v>2.9411764705882248E-2</v>
      </c>
      <c r="AN14" s="186">
        <f t="shared" si="12"/>
        <v>2.9411764705882248E-2</v>
      </c>
      <c r="AO14" s="186">
        <f t="shared" si="13"/>
        <v>2.9411764705882248E-2</v>
      </c>
      <c r="AP14" s="186">
        <f t="shared" si="14"/>
        <v>3.3333333333333437E-2</v>
      </c>
      <c r="AQ14" s="186">
        <f t="shared" si="15"/>
        <v>2.7972027972027913E-2</v>
      </c>
      <c r="AR14" s="186">
        <f t="shared" si="16"/>
        <v>2.9411764705882248E-2</v>
      </c>
      <c r="AV14" s="139">
        <v>43437</v>
      </c>
      <c r="AW14" s="139">
        <v>43830</v>
      </c>
      <c r="AY14" s="146">
        <v>33</v>
      </c>
      <c r="AZ14" s="146">
        <v>33</v>
      </c>
      <c r="BA14" s="146">
        <v>40</v>
      </c>
      <c r="BB14" s="146">
        <v>33</v>
      </c>
      <c r="BC14" s="146">
        <v>33</v>
      </c>
      <c r="BD14" s="146">
        <v>33</v>
      </c>
      <c r="BE14" s="146">
        <v>33</v>
      </c>
      <c r="BF14" s="146">
        <v>33</v>
      </c>
      <c r="BG14" s="146">
        <v>33</v>
      </c>
      <c r="BH14" s="146">
        <v>29</v>
      </c>
      <c r="BI14" s="146">
        <v>139</v>
      </c>
      <c r="BJ14" s="146">
        <v>33</v>
      </c>
      <c r="BK14" s="146">
        <v>888</v>
      </c>
    </row>
    <row r="15" spans="1:68" x14ac:dyDescent="0.25">
      <c r="A15" s="30" t="s">
        <v>121</v>
      </c>
      <c r="B15" s="14" t="s">
        <v>122</v>
      </c>
      <c r="C15" s="7" t="s">
        <v>123</v>
      </c>
      <c r="D15" s="7" t="s">
        <v>123</v>
      </c>
      <c r="E15" s="146"/>
      <c r="F15" s="163">
        <f>+VLOOKUP($D15,'Pricing Conditions M1 SCBA'!C:F,4,FALSE)</f>
        <v>70</v>
      </c>
      <c r="G15" t="s">
        <v>435</v>
      </c>
      <c r="H15">
        <v>1</v>
      </c>
      <c r="I15" t="s">
        <v>460</v>
      </c>
      <c r="J15" s="164" t="s">
        <v>535</v>
      </c>
      <c r="K15" s="164" t="s">
        <v>524</v>
      </c>
      <c r="L15"/>
      <c r="M15" s="145">
        <f t="shared" si="1"/>
        <v>70</v>
      </c>
      <c r="N15" s="146">
        <f t="shared" si="0"/>
        <v>70</v>
      </c>
      <c r="O15" s="145">
        <f t="shared" si="2"/>
        <v>84</v>
      </c>
      <c r="P15" s="146">
        <v>70</v>
      </c>
      <c r="Q15" s="146">
        <v>70</v>
      </c>
      <c r="R15" s="146">
        <v>70</v>
      </c>
      <c r="S15" s="146">
        <v>70</v>
      </c>
      <c r="T15" s="146">
        <v>70</v>
      </c>
      <c r="U15" s="146">
        <v>70</v>
      </c>
      <c r="V15" s="145">
        <f t="shared" si="3"/>
        <v>61</v>
      </c>
      <c r="W15" s="145">
        <f t="shared" si="4"/>
        <v>294</v>
      </c>
      <c r="X15" s="146">
        <v>70</v>
      </c>
      <c r="Y15" s="184">
        <v>2.7E-2</v>
      </c>
      <c r="Z15" s="141">
        <f>+VLOOKUP($D15,'Pricing Conditions M1 SCBA'!C:I,7,FALSE)</f>
        <v>68</v>
      </c>
      <c r="AA15" s="141">
        <v>82</v>
      </c>
      <c r="AB15" s="141">
        <v>59</v>
      </c>
      <c r="AC15" s="141">
        <v>286</v>
      </c>
      <c r="AD15" t="s">
        <v>435</v>
      </c>
      <c r="AE15">
        <v>1</v>
      </c>
      <c r="AF15" t="s">
        <v>437</v>
      </c>
      <c r="AG15" s="186">
        <f t="shared" si="5"/>
        <v>2.9411764705882248E-2</v>
      </c>
      <c r="AH15" s="186">
        <f t="shared" si="6"/>
        <v>2.9411764705882248E-2</v>
      </c>
      <c r="AI15" s="186">
        <f t="shared" si="7"/>
        <v>2.4390243902439046E-2</v>
      </c>
      <c r="AJ15" s="186">
        <f t="shared" si="8"/>
        <v>2.9411764705882248E-2</v>
      </c>
      <c r="AK15" s="186">
        <f t="shared" si="9"/>
        <v>2.9411764705882248E-2</v>
      </c>
      <c r="AL15" s="186">
        <f t="shared" si="10"/>
        <v>2.9411764705882248E-2</v>
      </c>
      <c r="AM15" s="186">
        <f t="shared" si="11"/>
        <v>2.9411764705882248E-2</v>
      </c>
      <c r="AN15" s="186">
        <f t="shared" si="12"/>
        <v>2.9411764705882248E-2</v>
      </c>
      <c r="AO15" s="186">
        <f t="shared" si="13"/>
        <v>2.9411764705882248E-2</v>
      </c>
      <c r="AP15" s="186">
        <f t="shared" si="14"/>
        <v>3.3898305084745672E-2</v>
      </c>
      <c r="AQ15" s="186">
        <f t="shared" si="15"/>
        <v>2.7972027972027913E-2</v>
      </c>
      <c r="AR15" s="186">
        <f t="shared" si="16"/>
        <v>2.9411764705882248E-2</v>
      </c>
      <c r="AV15" s="139">
        <v>43437</v>
      </c>
      <c r="AW15" s="139">
        <v>43830</v>
      </c>
      <c r="AY15" s="146">
        <v>66</v>
      </c>
      <c r="AZ15" s="146">
        <v>66</v>
      </c>
      <c r="BA15" s="146">
        <v>79</v>
      </c>
      <c r="BB15" s="146">
        <v>66</v>
      </c>
      <c r="BC15" s="146">
        <v>66</v>
      </c>
      <c r="BD15" s="146">
        <v>66</v>
      </c>
      <c r="BE15" s="146">
        <v>66</v>
      </c>
      <c r="BF15" s="146">
        <v>66</v>
      </c>
      <c r="BG15" s="146">
        <v>66</v>
      </c>
      <c r="BH15" s="146">
        <v>57</v>
      </c>
      <c r="BI15" s="146">
        <v>277</v>
      </c>
      <c r="BJ15" s="146">
        <v>66</v>
      </c>
      <c r="BK15" s="146">
        <v>1775</v>
      </c>
    </row>
    <row r="16" spans="1:68" x14ac:dyDescent="0.25">
      <c r="A16" s="35" t="s">
        <v>125</v>
      </c>
      <c r="B16" s="14" t="s">
        <v>126</v>
      </c>
      <c r="C16" s="7" t="s">
        <v>127</v>
      </c>
      <c r="D16" s="7" t="s">
        <v>127</v>
      </c>
      <c r="E16" s="7"/>
      <c r="F16" s="163">
        <f>+VLOOKUP($D16,'Pricing Conditions M1 SCBA'!C:F,4,FALSE)</f>
        <v>70</v>
      </c>
      <c r="G16" t="s">
        <v>435</v>
      </c>
      <c r="H16">
        <v>1</v>
      </c>
      <c r="I16" t="s">
        <v>460</v>
      </c>
      <c r="J16" s="164" t="s">
        <v>535</v>
      </c>
      <c r="K16" s="164" t="s">
        <v>524</v>
      </c>
      <c r="L16"/>
      <c r="M16" s="145">
        <f t="shared" si="1"/>
        <v>70</v>
      </c>
      <c r="N16" s="146">
        <f t="shared" si="0"/>
        <v>70</v>
      </c>
      <c r="O16" s="145">
        <f t="shared" si="2"/>
        <v>84</v>
      </c>
      <c r="P16" s="146">
        <v>70</v>
      </c>
      <c r="Q16" s="146">
        <v>70</v>
      </c>
      <c r="R16" s="146">
        <v>70</v>
      </c>
      <c r="S16" s="146">
        <v>70</v>
      </c>
      <c r="T16" s="146">
        <v>70</v>
      </c>
      <c r="U16" s="146">
        <v>70</v>
      </c>
      <c r="V16" s="145">
        <f t="shared" si="3"/>
        <v>61</v>
      </c>
      <c r="W16" s="145">
        <f t="shared" si="4"/>
        <v>294</v>
      </c>
      <c r="X16" s="146">
        <v>70</v>
      </c>
      <c r="Y16" s="184">
        <v>2.7E-2</v>
      </c>
      <c r="Z16" s="141">
        <f>+VLOOKUP($D16,'Pricing Conditions M1 SCBA'!C:I,7,FALSE)</f>
        <v>68</v>
      </c>
      <c r="AA16" s="141">
        <v>82</v>
      </c>
      <c r="AB16" s="141">
        <v>59</v>
      </c>
      <c r="AC16" s="141">
        <v>286</v>
      </c>
      <c r="AD16" t="s">
        <v>435</v>
      </c>
      <c r="AE16">
        <v>1</v>
      </c>
      <c r="AF16" t="s">
        <v>437</v>
      </c>
      <c r="AG16" s="186">
        <f t="shared" si="5"/>
        <v>2.9411764705882248E-2</v>
      </c>
      <c r="AH16" s="186">
        <f t="shared" si="6"/>
        <v>2.9411764705882248E-2</v>
      </c>
      <c r="AI16" s="186">
        <f t="shared" si="7"/>
        <v>2.4390243902439046E-2</v>
      </c>
      <c r="AJ16" s="186">
        <f t="shared" si="8"/>
        <v>2.9411764705882248E-2</v>
      </c>
      <c r="AK16" s="186">
        <f t="shared" si="9"/>
        <v>2.9411764705882248E-2</v>
      </c>
      <c r="AL16" s="186">
        <f t="shared" si="10"/>
        <v>2.9411764705882248E-2</v>
      </c>
      <c r="AM16" s="186">
        <f t="shared" si="11"/>
        <v>2.9411764705882248E-2</v>
      </c>
      <c r="AN16" s="186">
        <f t="shared" si="12"/>
        <v>2.9411764705882248E-2</v>
      </c>
      <c r="AO16" s="186">
        <f t="shared" si="13"/>
        <v>2.9411764705882248E-2</v>
      </c>
      <c r="AP16" s="186">
        <f t="shared" si="14"/>
        <v>3.3898305084745672E-2</v>
      </c>
      <c r="AQ16" s="186">
        <f t="shared" si="15"/>
        <v>2.7972027972027913E-2</v>
      </c>
      <c r="AR16" s="186">
        <f t="shared" si="16"/>
        <v>2.9411764705882248E-2</v>
      </c>
      <c r="AV16" s="139">
        <v>43437</v>
      </c>
      <c r="AW16" s="139">
        <v>43830</v>
      </c>
      <c r="AY16" s="146">
        <v>66</v>
      </c>
      <c r="AZ16" s="146">
        <v>66</v>
      </c>
      <c r="BA16" s="146">
        <v>79</v>
      </c>
      <c r="BB16" s="146">
        <v>66</v>
      </c>
      <c r="BC16" s="146">
        <v>66</v>
      </c>
      <c r="BD16" s="146">
        <v>66</v>
      </c>
      <c r="BE16" s="146">
        <v>66</v>
      </c>
      <c r="BF16" s="146">
        <v>66</v>
      </c>
      <c r="BG16" s="146">
        <v>66</v>
      </c>
      <c r="BH16" s="146">
        <v>57</v>
      </c>
      <c r="BI16" s="146">
        <v>277</v>
      </c>
      <c r="BJ16" s="146">
        <v>66</v>
      </c>
      <c r="BK16" s="146">
        <v>1775</v>
      </c>
    </row>
    <row r="17" spans="1:102" x14ac:dyDescent="0.25">
      <c r="A17" s="36" t="s">
        <v>128</v>
      </c>
      <c r="B17" s="14" t="s">
        <v>129</v>
      </c>
      <c r="C17" s="7" t="s">
        <v>130</v>
      </c>
      <c r="D17" s="7" t="s">
        <v>130</v>
      </c>
      <c r="E17" s="7"/>
      <c r="F17" s="163">
        <f>+VLOOKUP($D17,'Pricing Conditions M1 SCBA'!C:F,4,FALSE)</f>
        <v>105</v>
      </c>
      <c r="G17" t="s">
        <v>435</v>
      </c>
      <c r="H17">
        <v>1</v>
      </c>
      <c r="I17" t="s">
        <v>460</v>
      </c>
      <c r="J17" s="164" t="s">
        <v>535</v>
      </c>
      <c r="K17" s="164" t="s">
        <v>524</v>
      </c>
      <c r="L17"/>
      <c r="M17" s="145">
        <f t="shared" si="1"/>
        <v>105</v>
      </c>
      <c r="N17" s="146">
        <f t="shared" si="0"/>
        <v>105</v>
      </c>
      <c r="O17" s="145">
        <f t="shared" si="2"/>
        <v>125</v>
      </c>
      <c r="P17" s="146">
        <v>105</v>
      </c>
      <c r="Q17" s="146">
        <v>105</v>
      </c>
      <c r="R17" s="146">
        <v>105</v>
      </c>
      <c r="S17" s="146">
        <v>105</v>
      </c>
      <c r="T17" s="146">
        <v>105</v>
      </c>
      <c r="U17" s="146">
        <v>105</v>
      </c>
      <c r="V17" s="145">
        <f t="shared" si="3"/>
        <v>91</v>
      </c>
      <c r="W17" s="145">
        <f t="shared" si="4"/>
        <v>440</v>
      </c>
      <c r="X17" s="146">
        <v>105</v>
      </c>
      <c r="Y17" s="184">
        <v>2.7E-2</v>
      </c>
      <c r="Z17" s="141">
        <f>+VLOOKUP($D17,'Pricing Conditions M1 SCBA'!C:I,7,FALSE)</f>
        <v>102</v>
      </c>
      <c r="AA17" s="141">
        <v>122</v>
      </c>
      <c r="AB17" s="141">
        <v>89</v>
      </c>
      <c r="AC17" s="141">
        <v>428</v>
      </c>
      <c r="AD17" t="s">
        <v>435</v>
      </c>
      <c r="AE17">
        <v>1</v>
      </c>
      <c r="AF17" t="s">
        <v>437</v>
      </c>
      <c r="AG17" s="186">
        <f t="shared" si="5"/>
        <v>2.9411764705882248E-2</v>
      </c>
      <c r="AH17" s="186">
        <f t="shared" si="6"/>
        <v>2.9411764705882248E-2</v>
      </c>
      <c r="AI17" s="186">
        <f t="shared" si="7"/>
        <v>2.4590163934426146E-2</v>
      </c>
      <c r="AJ17" s="186">
        <f t="shared" si="8"/>
        <v>2.9411764705882248E-2</v>
      </c>
      <c r="AK17" s="186">
        <f t="shared" si="9"/>
        <v>2.9411764705882248E-2</v>
      </c>
      <c r="AL17" s="186">
        <f t="shared" si="10"/>
        <v>2.9411764705882248E-2</v>
      </c>
      <c r="AM17" s="186">
        <f t="shared" si="11"/>
        <v>2.9411764705882248E-2</v>
      </c>
      <c r="AN17" s="186">
        <f t="shared" si="12"/>
        <v>2.9411764705882248E-2</v>
      </c>
      <c r="AO17" s="186">
        <f t="shared" si="13"/>
        <v>2.9411764705882248E-2</v>
      </c>
      <c r="AP17" s="186">
        <f t="shared" si="14"/>
        <v>2.2471910112359605E-2</v>
      </c>
      <c r="AQ17" s="186">
        <f t="shared" si="15"/>
        <v>2.8037383177569986E-2</v>
      </c>
      <c r="AR17" s="186">
        <f t="shared" si="16"/>
        <v>2.9411764705882248E-2</v>
      </c>
      <c r="AV17" s="139">
        <v>43437</v>
      </c>
      <c r="AW17" s="139">
        <v>43830</v>
      </c>
      <c r="AY17" s="146">
        <v>99</v>
      </c>
      <c r="AZ17" s="146">
        <v>99</v>
      </c>
      <c r="BA17" s="146">
        <v>119</v>
      </c>
      <c r="BB17" s="146">
        <v>99</v>
      </c>
      <c r="BC17" s="146">
        <v>99</v>
      </c>
      <c r="BD17" s="146">
        <v>99</v>
      </c>
      <c r="BE17" s="146">
        <v>99</v>
      </c>
      <c r="BF17" s="146">
        <v>99</v>
      </c>
      <c r="BG17" s="146">
        <v>99</v>
      </c>
      <c r="BH17" s="146">
        <v>86</v>
      </c>
      <c r="BI17" s="146">
        <v>416</v>
      </c>
      <c r="BJ17" s="146">
        <v>99</v>
      </c>
      <c r="BK17" s="146">
        <v>2663</v>
      </c>
    </row>
    <row r="18" spans="1:102" x14ac:dyDescent="0.25">
      <c r="A18" s="27" t="s">
        <v>135</v>
      </c>
      <c r="B18" s="14" t="s">
        <v>136</v>
      </c>
      <c r="C18" s="7" t="s">
        <v>137</v>
      </c>
      <c r="D18" s="7" t="s">
        <v>137</v>
      </c>
      <c r="E18" s="7"/>
      <c r="F18" s="163">
        <f>+VLOOKUP($D18,'Pricing Conditions M1 SCBA'!C:F,4,FALSE)</f>
        <v>222</v>
      </c>
      <c r="G18" t="s">
        <v>435</v>
      </c>
      <c r="H18">
        <v>1</v>
      </c>
      <c r="I18" t="s">
        <v>460</v>
      </c>
      <c r="J18" s="164" t="s">
        <v>535</v>
      </c>
      <c r="K18" s="164" t="s">
        <v>524</v>
      </c>
      <c r="L18"/>
      <c r="M18" s="145">
        <f t="shared" si="1"/>
        <v>222</v>
      </c>
      <c r="N18" s="146">
        <f t="shared" si="0"/>
        <v>222</v>
      </c>
      <c r="O18" s="145">
        <f t="shared" si="2"/>
        <v>266</v>
      </c>
      <c r="P18" s="146">
        <v>222</v>
      </c>
      <c r="Q18" s="146">
        <v>222</v>
      </c>
      <c r="R18" s="146">
        <v>222</v>
      </c>
      <c r="S18" s="146">
        <v>222</v>
      </c>
      <c r="T18" s="146">
        <v>222</v>
      </c>
      <c r="U18" s="146">
        <v>222</v>
      </c>
      <c r="V18" s="145">
        <f t="shared" si="3"/>
        <v>193</v>
      </c>
      <c r="W18" s="145">
        <f t="shared" si="4"/>
        <v>931</v>
      </c>
      <c r="X18" s="146">
        <v>222</v>
      </c>
      <c r="Y18" s="184">
        <v>2.7E-2</v>
      </c>
      <c r="Z18" s="141">
        <f>+VLOOKUP($D18,'Pricing Conditions M1 SCBA'!C:I,7,FALSE)</f>
        <v>216</v>
      </c>
      <c r="AA18" s="141">
        <v>259</v>
      </c>
      <c r="AB18" s="141">
        <v>188</v>
      </c>
      <c r="AC18" s="141">
        <v>907</v>
      </c>
      <c r="AD18" t="s">
        <v>435</v>
      </c>
      <c r="AE18">
        <v>1</v>
      </c>
      <c r="AF18" t="s">
        <v>437</v>
      </c>
      <c r="AG18" s="186">
        <f t="shared" si="5"/>
        <v>2.7777777777777679E-2</v>
      </c>
      <c r="AH18" s="186">
        <f t="shared" si="6"/>
        <v>2.7777777777777679E-2</v>
      </c>
      <c r="AI18" s="186">
        <f t="shared" si="7"/>
        <v>2.7027027027026973E-2</v>
      </c>
      <c r="AJ18" s="186">
        <f t="shared" si="8"/>
        <v>2.7777777777777679E-2</v>
      </c>
      <c r="AK18" s="186">
        <f t="shared" si="9"/>
        <v>2.7777777777777679E-2</v>
      </c>
      <c r="AL18" s="186">
        <f t="shared" si="10"/>
        <v>2.7777777777777679E-2</v>
      </c>
      <c r="AM18" s="186">
        <f t="shared" si="11"/>
        <v>2.7777777777777679E-2</v>
      </c>
      <c r="AN18" s="186">
        <f t="shared" si="12"/>
        <v>2.7777777777777679E-2</v>
      </c>
      <c r="AO18" s="186">
        <f t="shared" si="13"/>
        <v>2.7777777777777679E-2</v>
      </c>
      <c r="AP18" s="186">
        <f t="shared" si="14"/>
        <v>2.659574468085113E-2</v>
      </c>
      <c r="AQ18" s="186">
        <f t="shared" si="15"/>
        <v>2.6460859977949225E-2</v>
      </c>
      <c r="AR18" s="186">
        <f t="shared" si="16"/>
        <v>2.7777777777777679E-2</v>
      </c>
      <c r="AV18" s="139">
        <v>43437</v>
      </c>
      <c r="AW18" s="139">
        <v>43830</v>
      </c>
      <c r="AY18" s="146">
        <v>210</v>
      </c>
      <c r="AZ18" s="146">
        <v>210</v>
      </c>
      <c r="BA18" s="146">
        <v>252</v>
      </c>
      <c r="BB18" s="146">
        <v>210</v>
      </c>
      <c r="BC18" s="146">
        <v>210</v>
      </c>
      <c r="BD18" s="146">
        <v>210</v>
      </c>
      <c r="BE18" s="146">
        <v>210</v>
      </c>
      <c r="BF18" s="146">
        <v>210</v>
      </c>
      <c r="BG18" s="146">
        <v>210</v>
      </c>
      <c r="BH18" s="146">
        <v>183</v>
      </c>
      <c r="BI18" s="146">
        <v>882</v>
      </c>
      <c r="BJ18" s="146">
        <v>210</v>
      </c>
      <c r="BK18" s="146">
        <v>5649</v>
      </c>
    </row>
    <row r="19" spans="1:102" x14ac:dyDescent="0.25">
      <c r="A19" s="27" t="s">
        <v>139</v>
      </c>
      <c r="B19" s="20" t="s">
        <v>140</v>
      </c>
      <c r="C19" s="7" t="s">
        <v>141</v>
      </c>
      <c r="D19" s="7" t="s">
        <v>141</v>
      </c>
      <c r="E19" s="7"/>
      <c r="F19" s="163">
        <f>+VLOOKUP($D19,'Pricing Conditions M1 SCBA'!C:F,4,FALSE)</f>
        <v>284</v>
      </c>
      <c r="G19" t="s">
        <v>435</v>
      </c>
      <c r="H19">
        <v>1</v>
      </c>
      <c r="I19" t="s">
        <v>460</v>
      </c>
      <c r="J19" s="164" t="s">
        <v>535</v>
      </c>
      <c r="K19" s="164" t="s">
        <v>524</v>
      </c>
      <c r="L19"/>
      <c r="M19" s="145">
        <f t="shared" si="1"/>
        <v>284</v>
      </c>
      <c r="N19" s="146">
        <f t="shared" si="0"/>
        <v>284</v>
      </c>
      <c r="O19" s="145">
        <f t="shared" si="2"/>
        <v>341</v>
      </c>
      <c r="P19" s="146">
        <v>284</v>
      </c>
      <c r="Q19" s="146">
        <v>284</v>
      </c>
      <c r="R19" s="146">
        <v>284</v>
      </c>
      <c r="S19" s="146">
        <v>284</v>
      </c>
      <c r="T19" s="146">
        <v>284</v>
      </c>
      <c r="U19" s="146">
        <v>284</v>
      </c>
      <c r="V19" s="145">
        <f t="shared" si="3"/>
        <v>248</v>
      </c>
      <c r="W19" s="145">
        <f t="shared" si="4"/>
        <v>1194</v>
      </c>
      <c r="X19" s="146">
        <v>284</v>
      </c>
      <c r="Y19" s="184">
        <v>2.7E-2</v>
      </c>
      <c r="Z19" s="141">
        <f>+VLOOKUP($D19,'Pricing Conditions M1 SCBA'!C:I,7,FALSE)</f>
        <v>277</v>
      </c>
      <c r="AA19" s="141">
        <v>332</v>
      </c>
      <c r="AB19" s="141">
        <v>241</v>
      </c>
      <c r="AC19" s="141">
        <v>1163</v>
      </c>
      <c r="AD19" t="s">
        <v>435</v>
      </c>
      <c r="AE19">
        <v>1</v>
      </c>
      <c r="AF19" t="s">
        <v>437</v>
      </c>
      <c r="AG19" s="186">
        <f t="shared" si="5"/>
        <v>2.5270758122743597E-2</v>
      </c>
      <c r="AH19" s="186">
        <f t="shared" si="6"/>
        <v>2.5270758122743597E-2</v>
      </c>
      <c r="AI19" s="186">
        <f t="shared" si="7"/>
        <v>2.7108433734939652E-2</v>
      </c>
      <c r="AJ19" s="186">
        <f t="shared" si="8"/>
        <v>2.5270758122743597E-2</v>
      </c>
      <c r="AK19" s="186">
        <f t="shared" si="9"/>
        <v>2.5270758122743597E-2</v>
      </c>
      <c r="AL19" s="186">
        <f t="shared" si="10"/>
        <v>2.5270758122743597E-2</v>
      </c>
      <c r="AM19" s="186">
        <f t="shared" si="11"/>
        <v>2.5270758122743597E-2</v>
      </c>
      <c r="AN19" s="186">
        <f t="shared" si="12"/>
        <v>2.5270758122743597E-2</v>
      </c>
      <c r="AO19" s="186">
        <f t="shared" si="13"/>
        <v>2.5270758122743597E-2</v>
      </c>
      <c r="AP19" s="186">
        <f t="shared" si="14"/>
        <v>2.9045643153526868E-2</v>
      </c>
      <c r="AQ19" s="186">
        <f t="shared" si="15"/>
        <v>2.6655202063628591E-2</v>
      </c>
      <c r="AR19" s="186">
        <f t="shared" si="16"/>
        <v>2.5270758122743597E-2</v>
      </c>
      <c r="AV19" s="139">
        <v>43437</v>
      </c>
      <c r="AW19" s="139">
        <v>43830</v>
      </c>
      <c r="AY19" s="146">
        <v>270</v>
      </c>
      <c r="AZ19" s="146">
        <v>270</v>
      </c>
      <c r="BA19" s="146">
        <v>324</v>
      </c>
      <c r="BB19" s="146">
        <v>270</v>
      </c>
      <c r="BC19" s="146">
        <v>270</v>
      </c>
      <c r="BD19" s="146">
        <v>270</v>
      </c>
      <c r="BE19" s="146">
        <v>270</v>
      </c>
      <c r="BF19" s="146">
        <v>270</v>
      </c>
      <c r="BG19" s="146">
        <v>270</v>
      </c>
      <c r="BH19" s="146">
        <v>235</v>
      </c>
      <c r="BI19" s="146">
        <v>1134</v>
      </c>
      <c r="BJ19" s="146">
        <v>270</v>
      </c>
      <c r="BK19" s="146">
        <v>7263</v>
      </c>
    </row>
    <row r="20" spans="1:102" x14ac:dyDescent="0.25">
      <c r="A20" s="27" t="s">
        <v>142</v>
      </c>
      <c r="B20" s="14" t="s">
        <v>143</v>
      </c>
      <c r="C20" s="7" t="s">
        <v>144</v>
      </c>
      <c r="D20" s="7" t="s">
        <v>144</v>
      </c>
      <c r="E20" s="7"/>
      <c r="F20" s="163">
        <f>+VLOOKUP($D20,'Pricing Conditions M1 SCBA'!C:F,4,FALSE)</f>
        <v>506</v>
      </c>
      <c r="G20" t="s">
        <v>435</v>
      </c>
      <c r="H20">
        <v>1</v>
      </c>
      <c r="I20" t="s">
        <v>460</v>
      </c>
      <c r="J20" s="164" t="s">
        <v>535</v>
      </c>
      <c r="K20" s="164" t="s">
        <v>524</v>
      </c>
      <c r="L20"/>
      <c r="M20" s="145">
        <f t="shared" si="1"/>
        <v>506</v>
      </c>
      <c r="N20" s="146">
        <f t="shared" si="0"/>
        <v>506</v>
      </c>
      <c r="O20" s="145">
        <f t="shared" si="2"/>
        <v>608</v>
      </c>
      <c r="P20" s="146">
        <v>506</v>
      </c>
      <c r="Q20" s="146">
        <v>506</v>
      </c>
      <c r="R20" s="146">
        <v>506</v>
      </c>
      <c r="S20" s="146">
        <v>506</v>
      </c>
      <c r="T20" s="146">
        <v>506</v>
      </c>
      <c r="U20" s="146">
        <v>506</v>
      </c>
      <c r="V20" s="145">
        <f t="shared" si="3"/>
        <v>441</v>
      </c>
      <c r="W20" s="145">
        <f t="shared" si="4"/>
        <v>2127</v>
      </c>
      <c r="X20" s="146">
        <v>506</v>
      </c>
      <c r="Y20" s="184">
        <v>2.7E-2</v>
      </c>
      <c r="Z20" s="141">
        <f>+VLOOKUP($D20,'Pricing Conditions M1 SCBA'!C:I,7,FALSE)</f>
        <v>493</v>
      </c>
      <c r="AA20" s="141">
        <v>592</v>
      </c>
      <c r="AB20" s="141">
        <v>429</v>
      </c>
      <c r="AC20" s="141">
        <v>2071</v>
      </c>
      <c r="AD20" t="s">
        <v>435</v>
      </c>
      <c r="AE20">
        <v>1</v>
      </c>
      <c r="AF20" t="s">
        <v>437</v>
      </c>
      <c r="AG20" s="186">
        <f t="shared" si="5"/>
        <v>2.6369168356997985E-2</v>
      </c>
      <c r="AH20" s="186">
        <f t="shared" si="6"/>
        <v>2.6369168356997985E-2</v>
      </c>
      <c r="AI20" s="186">
        <f t="shared" si="7"/>
        <v>2.7027027027026973E-2</v>
      </c>
      <c r="AJ20" s="186">
        <f t="shared" si="8"/>
        <v>2.6369168356997985E-2</v>
      </c>
      <c r="AK20" s="186">
        <f t="shared" si="9"/>
        <v>2.6369168356997985E-2</v>
      </c>
      <c r="AL20" s="186">
        <f t="shared" si="10"/>
        <v>2.6369168356997985E-2</v>
      </c>
      <c r="AM20" s="186">
        <f t="shared" si="11"/>
        <v>2.6369168356997985E-2</v>
      </c>
      <c r="AN20" s="186">
        <f t="shared" si="12"/>
        <v>2.6369168356997985E-2</v>
      </c>
      <c r="AO20" s="186">
        <f t="shared" si="13"/>
        <v>2.6369168356997985E-2</v>
      </c>
      <c r="AP20" s="186">
        <f t="shared" si="14"/>
        <v>2.7972027972027913E-2</v>
      </c>
      <c r="AQ20" s="186">
        <f t="shared" si="15"/>
        <v>2.7040077257363571E-2</v>
      </c>
      <c r="AR20" s="186">
        <f t="shared" si="16"/>
        <v>2.6369168356997985E-2</v>
      </c>
      <c r="AV20" s="150">
        <v>43502</v>
      </c>
      <c r="AW20" s="139">
        <v>43830</v>
      </c>
      <c r="AY20" s="152">
        <v>480</v>
      </c>
      <c r="AZ20" s="152">
        <v>480</v>
      </c>
      <c r="BA20" s="152">
        <v>576</v>
      </c>
      <c r="BB20" s="152">
        <v>480</v>
      </c>
      <c r="BC20" s="152">
        <v>480</v>
      </c>
      <c r="BD20" s="152">
        <v>480</v>
      </c>
      <c r="BE20" s="152">
        <v>480</v>
      </c>
      <c r="BF20" s="152">
        <v>480</v>
      </c>
      <c r="BG20" s="152">
        <v>480</v>
      </c>
      <c r="BH20" s="152">
        <v>418</v>
      </c>
      <c r="BI20" s="152">
        <v>2016</v>
      </c>
      <c r="BJ20" s="152">
        <v>480</v>
      </c>
      <c r="BK20" s="152">
        <v>12912</v>
      </c>
    </row>
    <row r="21" spans="1:102" x14ac:dyDescent="0.25">
      <c r="A21" s="27" t="s">
        <v>146</v>
      </c>
      <c r="B21" s="14" t="s">
        <v>147</v>
      </c>
      <c r="C21" s="7" t="s">
        <v>148</v>
      </c>
      <c r="D21" s="7" t="s">
        <v>148</v>
      </c>
      <c r="E21" s="7"/>
      <c r="F21" s="163">
        <f>+VLOOKUP($D21,'Pricing Conditions M1 SCBA'!C:F,4,FALSE)</f>
        <v>511</v>
      </c>
      <c r="G21" t="s">
        <v>435</v>
      </c>
      <c r="H21">
        <v>1</v>
      </c>
      <c r="I21" t="s">
        <v>460</v>
      </c>
      <c r="J21" s="164" t="s">
        <v>535</v>
      </c>
      <c r="K21" s="164" t="s">
        <v>524</v>
      </c>
      <c r="L21"/>
      <c r="M21" s="145">
        <f t="shared" si="1"/>
        <v>511</v>
      </c>
      <c r="N21" s="146">
        <f t="shared" si="0"/>
        <v>511</v>
      </c>
      <c r="O21" s="145">
        <f t="shared" si="2"/>
        <v>614</v>
      </c>
      <c r="P21" s="146">
        <v>511</v>
      </c>
      <c r="Q21" s="146">
        <v>511</v>
      </c>
      <c r="R21" s="146">
        <v>511</v>
      </c>
      <c r="S21" s="146">
        <v>511</v>
      </c>
      <c r="T21" s="146">
        <v>511</v>
      </c>
      <c r="U21" s="146">
        <v>511</v>
      </c>
      <c r="V21" s="145">
        <f t="shared" si="3"/>
        <v>445</v>
      </c>
      <c r="W21" s="145">
        <f t="shared" si="4"/>
        <v>2148</v>
      </c>
      <c r="X21" s="146">
        <v>511</v>
      </c>
      <c r="Y21" s="184">
        <v>2.7E-2</v>
      </c>
      <c r="Z21" s="141">
        <f>+VLOOKUP($D21,'Pricing Conditions M1 SCBA'!C:I,7,FALSE)</f>
        <v>498</v>
      </c>
      <c r="AA21" s="141">
        <v>598</v>
      </c>
      <c r="AB21" s="141">
        <v>433</v>
      </c>
      <c r="AC21" s="141">
        <v>2092</v>
      </c>
      <c r="AD21" t="s">
        <v>435</v>
      </c>
      <c r="AE21">
        <v>1</v>
      </c>
      <c r="AF21" t="s">
        <v>437</v>
      </c>
      <c r="AG21" s="186">
        <f t="shared" si="5"/>
        <v>2.6104417670682833E-2</v>
      </c>
      <c r="AH21" s="186">
        <f t="shared" si="6"/>
        <v>2.6104417670682833E-2</v>
      </c>
      <c r="AI21" s="186">
        <f t="shared" si="7"/>
        <v>2.6755852842809347E-2</v>
      </c>
      <c r="AJ21" s="186">
        <f t="shared" si="8"/>
        <v>2.6104417670682833E-2</v>
      </c>
      <c r="AK21" s="186">
        <f t="shared" si="9"/>
        <v>2.6104417670682833E-2</v>
      </c>
      <c r="AL21" s="186">
        <f t="shared" si="10"/>
        <v>2.6104417670682833E-2</v>
      </c>
      <c r="AM21" s="186">
        <f t="shared" si="11"/>
        <v>2.6104417670682833E-2</v>
      </c>
      <c r="AN21" s="186">
        <f t="shared" si="12"/>
        <v>2.6104417670682833E-2</v>
      </c>
      <c r="AO21" s="186">
        <f t="shared" si="13"/>
        <v>2.6104417670682833E-2</v>
      </c>
      <c r="AP21" s="186">
        <f t="shared" si="14"/>
        <v>2.7713625866050862E-2</v>
      </c>
      <c r="AQ21" s="186">
        <f t="shared" si="15"/>
        <v>2.6768642447418722E-2</v>
      </c>
      <c r="AR21" s="186">
        <f t="shared" si="16"/>
        <v>2.6104417670682833E-2</v>
      </c>
      <c r="AV21" s="150">
        <v>43502</v>
      </c>
      <c r="AW21" s="139">
        <v>43830</v>
      </c>
      <c r="AY21" s="152">
        <v>485</v>
      </c>
      <c r="AZ21" s="152">
        <v>485</v>
      </c>
      <c r="BA21" s="152">
        <v>582</v>
      </c>
      <c r="BB21" s="152">
        <v>485</v>
      </c>
      <c r="BC21" s="152">
        <v>485</v>
      </c>
      <c r="BD21" s="152">
        <v>485</v>
      </c>
      <c r="BE21" s="152">
        <v>485</v>
      </c>
      <c r="BF21" s="152">
        <v>485</v>
      </c>
      <c r="BG21" s="152">
        <v>485</v>
      </c>
      <c r="BH21" s="152">
        <v>422</v>
      </c>
      <c r="BI21" s="152">
        <v>2037</v>
      </c>
      <c r="BJ21" s="152">
        <v>485</v>
      </c>
      <c r="BK21" s="152">
        <v>13047</v>
      </c>
    </row>
    <row r="22" spans="1:102" x14ac:dyDescent="0.25">
      <c r="A22" s="26" t="s">
        <v>155</v>
      </c>
      <c r="B22" s="14" t="s">
        <v>156</v>
      </c>
      <c r="C22" s="7" t="s">
        <v>157</v>
      </c>
      <c r="D22" s="7" t="s">
        <v>157</v>
      </c>
      <c r="E22" s="7"/>
      <c r="F22" s="163">
        <f>+VLOOKUP($D22,'Pricing Conditions M1 SCBA'!C:F,4,FALSE)</f>
        <v>24</v>
      </c>
      <c r="G22" t="s">
        <v>435</v>
      </c>
      <c r="H22">
        <v>1</v>
      </c>
      <c r="I22" t="s">
        <v>460</v>
      </c>
      <c r="J22" s="164" t="s">
        <v>535</v>
      </c>
      <c r="K22" s="164" t="s">
        <v>524</v>
      </c>
      <c r="L22"/>
      <c r="M22" s="145">
        <f t="shared" si="1"/>
        <v>24</v>
      </c>
      <c r="N22" s="146">
        <f t="shared" si="0"/>
        <v>24</v>
      </c>
      <c r="O22" s="145">
        <f t="shared" si="2"/>
        <v>29</v>
      </c>
      <c r="P22" s="146">
        <v>24</v>
      </c>
      <c r="Q22" s="146">
        <v>24</v>
      </c>
      <c r="R22" s="146">
        <v>24</v>
      </c>
      <c r="S22" s="146">
        <v>24</v>
      </c>
      <c r="T22" s="146">
        <v>24</v>
      </c>
      <c r="U22" s="146">
        <v>24</v>
      </c>
      <c r="V22" s="145">
        <f t="shared" si="3"/>
        <v>21</v>
      </c>
      <c r="W22" s="145">
        <f t="shared" si="4"/>
        <v>100</v>
      </c>
      <c r="X22" s="146">
        <v>24</v>
      </c>
      <c r="Y22" s="184">
        <v>2.7E-2</v>
      </c>
      <c r="Z22" s="141">
        <f>+VLOOKUP($D22,'Pricing Conditions M1 SCBA'!C:I,7,FALSE)</f>
        <v>23</v>
      </c>
      <c r="AA22" s="141">
        <v>28</v>
      </c>
      <c r="AB22" s="141">
        <v>20</v>
      </c>
      <c r="AC22" s="141">
        <v>97</v>
      </c>
      <c r="AD22" t="s">
        <v>435</v>
      </c>
      <c r="AE22">
        <v>1</v>
      </c>
      <c r="AF22" t="s">
        <v>437</v>
      </c>
      <c r="AG22" s="186">
        <f t="shared" si="5"/>
        <v>4.3478260869565188E-2</v>
      </c>
      <c r="AH22" s="186">
        <f t="shared" si="6"/>
        <v>4.3478260869565188E-2</v>
      </c>
      <c r="AI22" s="186">
        <f t="shared" si="7"/>
        <v>3.5714285714285809E-2</v>
      </c>
      <c r="AJ22" s="186">
        <f t="shared" si="8"/>
        <v>4.3478260869565188E-2</v>
      </c>
      <c r="AK22" s="186">
        <f t="shared" si="9"/>
        <v>4.3478260869565188E-2</v>
      </c>
      <c r="AL22" s="186">
        <f t="shared" si="10"/>
        <v>4.3478260869565188E-2</v>
      </c>
      <c r="AM22" s="186">
        <f t="shared" si="11"/>
        <v>4.3478260869565188E-2</v>
      </c>
      <c r="AN22" s="186">
        <f t="shared" si="12"/>
        <v>4.3478260869565188E-2</v>
      </c>
      <c r="AO22" s="186">
        <f t="shared" si="13"/>
        <v>4.3478260869565188E-2</v>
      </c>
      <c r="AP22" s="186">
        <f t="shared" si="14"/>
        <v>5.0000000000000044E-2</v>
      </c>
      <c r="AQ22" s="186">
        <f t="shared" si="15"/>
        <v>3.0927835051546282E-2</v>
      </c>
      <c r="AR22" s="186">
        <f t="shared" si="16"/>
        <v>4.3478260869565188E-2</v>
      </c>
      <c r="AV22" s="139">
        <v>43437</v>
      </c>
      <c r="AW22" s="139">
        <v>43830</v>
      </c>
      <c r="AY22" s="146">
        <v>22</v>
      </c>
      <c r="AZ22" s="146">
        <v>22</v>
      </c>
      <c r="BA22" s="146">
        <v>26</v>
      </c>
      <c r="BB22" s="146">
        <v>22</v>
      </c>
      <c r="BC22" s="146">
        <v>22</v>
      </c>
      <c r="BD22" s="146">
        <v>22</v>
      </c>
      <c r="BE22" s="146">
        <v>22</v>
      </c>
      <c r="BF22" s="146">
        <v>22</v>
      </c>
      <c r="BG22" s="146">
        <v>22</v>
      </c>
      <c r="BH22" s="146">
        <v>19</v>
      </c>
      <c r="BI22" s="146">
        <v>92</v>
      </c>
      <c r="BJ22" s="146">
        <v>22</v>
      </c>
      <c r="BK22" s="146">
        <v>592</v>
      </c>
    </row>
    <row r="23" spans="1:102" x14ac:dyDescent="0.25">
      <c r="A23" s="26" t="s">
        <v>161</v>
      </c>
      <c r="B23" s="14" t="s">
        <v>162</v>
      </c>
      <c r="C23" s="7" t="s">
        <v>163</v>
      </c>
      <c r="D23" s="7" t="s">
        <v>163</v>
      </c>
      <c r="E23" s="7"/>
      <c r="F23" s="163">
        <f>+VLOOKUP($D23,'Pricing Conditions M1 SCBA'!C:F,4,FALSE)</f>
        <v>11</v>
      </c>
      <c r="G23" t="s">
        <v>435</v>
      </c>
      <c r="H23">
        <v>1</v>
      </c>
      <c r="I23" t="s">
        <v>460</v>
      </c>
      <c r="J23" s="164" t="s">
        <v>535</v>
      </c>
      <c r="K23" s="164" t="s">
        <v>524</v>
      </c>
      <c r="L23"/>
      <c r="M23" s="145">
        <f t="shared" si="1"/>
        <v>11</v>
      </c>
      <c r="N23" s="146">
        <f t="shared" si="0"/>
        <v>11</v>
      </c>
      <c r="O23" s="145">
        <f t="shared" si="2"/>
        <v>13</v>
      </c>
      <c r="P23" s="146">
        <v>11</v>
      </c>
      <c r="Q23" s="146">
        <v>11</v>
      </c>
      <c r="R23" s="146">
        <v>11</v>
      </c>
      <c r="S23" s="146">
        <v>11</v>
      </c>
      <c r="T23" s="146">
        <v>11</v>
      </c>
      <c r="U23" s="146">
        <v>11</v>
      </c>
      <c r="V23" s="145">
        <f t="shared" si="3"/>
        <v>10</v>
      </c>
      <c r="W23" s="145">
        <f t="shared" si="4"/>
        <v>47</v>
      </c>
      <c r="X23" s="146">
        <v>11</v>
      </c>
      <c r="Y23" s="184">
        <v>2.7E-2</v>
      </c>
      <c r="Z23" s="141">
        <f>+VLOOKUP($D23,'Pricing Conditions M1 SCBA'!C:I,7,FALSE)</f>
        <v>11</v>
      </c>
      <c r="AA23" s="141">
        <v>13</v>
      </c>
      <c r="AB23" s="141">
        <v>10</v>
      </c>
      <c r="AC23" s="141">
        <v>46</v>
      </c>
      <c r="AD23" t="s">
        <v>435</v>
      </c>
      <c r="AE23">
        <v>1</v>
      </c>
      <c r="AF23" t="s">
        <v>437</v>
      </c>
      <c r="AG23" s="186">
        <f t="shared" si="5"/>
        <v>0</v>
      </c>
      <c r="AH23" s="186">
        <f t="shared" si="6"/>
        <v>0</v>
      </c>
      <c r="AI23" s="186">
        <f t="shared" si="7"/>
        <v>0</v>
      </c>
      <c r="AJ23" s="186">
        <f t="shared" si="8"/>
        <v>0</v>
      </c>
      <c r="AK23" s="186">
        <f t="shared" si="9"/>
        <v>0</v>
      </c>
      <c r="AL23" s="186">
        <f t="shared" si="10"/>
        <v>0</v>
      </c>
      <c r="AM23" s="186">
        <f t="shared" si="11"/>
        <v>0</v>
      </c>
      <c r="AN23" s="186">
        <f t="shared" si="12"/>
        <v>0</v>
      </c>
      <c r="AO23" s="186">
        <f t="shared" si="13"/>
        <v>0</v>
      </c>
      <c r="AP23" s="186">
        <f t="shared" si="14"/>
        <v>0</v>
      </c>
      <c r="AQ23" s="186">
        <f t="shared" si="15"/>
        <v>2.1739130434782705E-2</v>
      </c>
      <c r="AR23" s="186">
        <f t="shared" si="16"/>
        <v>0</v>
      </c>
      <c r="AV23" s="139">
        <v>43437</v>
      </c>
      <c r="AW23" s="139">
        <v>43830</v>
      </c>
      <c r="AY23" s="146">
        <v>11</v>
      </c>
      <c r="AZ23" s="146">
        <v>11</v>
      </c>
      <c r="BA23" s="146">
        <v>13</v>
      </c>
      <c r="BB23" s="146">
        <v>11</v>
      </c>
      <c r="BC23" s="146">
        <v>11</v>
      </c>
      <c r="BD23" s="146">
        <v>11</v>
      </c>
      <c r="BE23" s="146">
        <v>11</v>
      </c>
      <c r="BF23" s="146">
        <v>11</v>
      </c>
      <c r="BG23" s="146">
        <v>11</v>
      </c>
      <c r="BH23" s="146">
        <v>10</v>
      </c>
      <c r="BI23" s="146">
        <v>46</v>
      </c>
      <c r="BJ23" s="146">
        <v>11</v>
      </c>
      <c r="BK23" s="146">
        <v>296</v>
      </c>
    </row>
    <row r="24" spans="1:102" x14ac:dyDescent="0.25">
      <c r="A24" s="26" t="s">
        <v>179</v>
      </c>
      <c r="B24" s="14" t="s">
        <v>180</v>
      </c>
      <c r="C24" s="7" t="s">
        <v>181</v>
      </c>
      <c r="D24" s="7" t="s">
        <v>181</v>
      </c>
      <c r="E24" s="7"/>
      <c r="F24" s="163">
        <f>+VLOOKUP($D24,'Pricing Conditions M1 SCBA'!C:F,4,FALSE)</f>
        <v>333</v>
      </c>
      <c r="G24" t="s">
        <v>435</v>
      </c>
      <c r="H24">
        <v>1</v>
      </c>
      <c r="I24" t="s">
        <v>460</v>
      </c>
      <c r="J24" s="164" t="s">
        <v>535</v>
      </c>
      <c r="K24" s="164" t="s">
        <v>524</v>
      </c>
      <c r="L24"/>
      <c r="M24" s="145">
        <f t="shared" si="1"/>
        <v>333</v>
      </c>
      <c r="N24" s="146">
        <f t="shared" si="0"/>
        <v>333</v>
      </c>
      <c r="O24" s="145">
        <f t="shared" si="2"/>
        <v>400</v>
      </c>
      <c r="P24" s="146">
        <v>333</v>
      </c>
      <c r="Q24" s="146">
        <v>333</v>
      </c>
      <c r="R24" s="146">
        <v>333</v>
      </c>
      <c r="S24" s="146">
        <v>333</v>
      </c>
      <c r="T24" s="146">
        <v>333</v>
      </c>
      <c r="U24" s="146">
        <v>333</v>
      </c>
      <c r="V24" s="145">
        <f t="shared" si="3"/>
        <v>290</v>
      </c>
      <c r="W24" s="145">
        <f t="shared" si="4"/>
        <v>1398</v>
      </c>
      <c r="X24" s="146">
        <v>333</v>
      </c>
      <c r="Y24" s="184">
        <v>2.7E-2</v>
      </c>
      <c r="Z24" s="141">
        <f>+VLOOKUP($D24,'Pricing Conditions M1 SCBA'!C:I,7,FALSE)</f>
        <v>324</v>
      </c>
      <c r="AA24" s="141">
        <v>389</v>
      </c>
      <c r="AB24" s="141">
        <v>282</v>
      </c>
      <c r="AC24" s="141">
        <v>1361</v>
      </c>
      <c r="AD24" t="s">
        <v>435</v>
      </c>
      <c r="AE24">
        <v>1</v>
      </c>
      <c r="AF24" t="s">
        <v>437</v>
      </c>
      <c r="AG24" s="186">
        <f t="shared" si="5"/>
        <v>2.7777777777777679E-2</v>
      </c>
      <c r="AH24" s="186">
        <f t="shared" si="6"/>
        <v>2.7777777777777679E-2</v>
      </c>
      <c r="AI24" s="186">
        <f t="shared" si="7"/>
        <v>2.8277634961439535E-2</v>
      </c>
      <c r="AJ24" s="186">
        <f t="shared" si="8"/>
        <v>2.7777777777777679E-2</v>
      </c>
      <c r="AK24" s="186">
        <f t="shared" si="9"/>
        <v>2.7777777777777679E-2</v>
      </c>
      <c r="AL24" s="186">
        <f t="shared" si="10"/>
        <v>2.7777777777777679E-2</v>
      </c>
      <c r="AM24" s="186">
        <f t="shared" si="11"/>
        <v>2.7777777777777679E-2</v>
      </c>
      <c r="AN24" s="186">
        <f t="shared" si="12"/>
        <v>2.7777777777777679E-2</v>
      </c>
      <c r="AO24" s="186">
        <f t="shared" si="13"/>
        <v>2.7777777777777679E-2</v>
      </c>
      <c r="AP24" s="186">
        <f t="shared" si="14"/>
        <v>2.8368794326241176E-2</v>
      </c>
      <c r="AQ24" s="186">
        <f t="shared" si="15"/>
        <v>2.7185892725936744E-2</v>
      </c>
      <c r="AR24" s="186">
        <f t="shared" si="16"/>
        <v>2.7777777777777679E-2</v>
      </c>
      <c r="AV24" s="139">
        <v>43437</v>
      </c>
      <c r="AW24" s="139">
        <v>43830</v>
      </c>
      <c r="AY24" s="146">
        <v>315</v>
      </c>
      <c r="AZ24" s="146">
        <v>315</v>
      </c>
      <c r="BA24" s="146">
        <v>378</v>
      </c>
      <c r="BB24" s="146">
        <v>315</v>
      </c>
      <c r="BC24" s="146">
        <v>315</v>
      </c>
      <c r="BD24" s="146">
        <v>315</v>
      </c>
      <c r="BE24" s="146">
        <v>315</v>
      </c>
      <c r="BF24" s="146">
        <v>315</v>
      </c>
      <c r="BG24" s="146">
        <v>315</v>
      </c>
      <c r="BH24" s="146">
        <v>274</v>
      </c>
      <c r="BI24" s="146">
        <v>1323</v>
      </c>
      <c r="BJ24" s="146">
        <v>315</v>
      </c>
      <c r="BK24" s="146">
        <v>8474</v>
      </c>
    </row>
    <row r="25" spans="1:102" x14ac:dyDescent="0.25">
      <c r="A25" s="26" t="s">
        <v>183</v>
      </c>
      <c r="B25" s="14" t="s">
        <v>184</v>
      </c>
      <c r="C25" s="7" t="s">
        <v>185</v>
      </c>
      <c r="D25" s="7" t="s">
        <v>185</v>
      </c>
      <c r="E25" s="7"/>
      <c r="F25" s="163">
        <f>+VLOOKUP($D25,'Pricing Conditions M1 SCBA'!C:F,4,FALSE)</f>
        <v>333</v>
      </c>
      <c r="G25" t="s">
        <v>435</v>
      </c>
      <c r="H25">
        <v>1</v>
      </c>
      <c r="I25" t="s">
        <v>460</v>
      </c>
      <c r="J25" s="164" t="s">
        <v>535</v>
      </c>
      <c r="K25" s="164" t="s">
        <v>524</v>
      </c>
      <c r="L25"/>
      <c r="M25" s="145">
        <f t="shared" si="1"/>
        <v>333</v>
      </c>
      <c r="N25" s="146">
        <f t="shared" si="0"/>
        <v>333</v>
      </c>
      <c r="O25" s="145">
        <f t="shared" si="2"/>
        <v>400</v>
      </c>
      <c r="P25" s="146">
        <v>333</v>
      </c>
      <c r="Q25" s="146">
        <v>333</v>
      </c>
      <c r="R25" s="146">
        <v>333</v>
      </c>
      <c r="S25" s="146">
        <v>333</v>
      </c>
      <c r="T25" s="146">
        <v>333</v>
      </c>
      <c r="U25" s="146">
        <v>333</v>
      </c>
      <c r="V25" s="145">
        <f t="shared" si="3"/>
        <v>290</v>
      </c>
      <c r="W25" s="145">
        <f t="shared" si="4"/>
        <v>1398</v>
      </c>
      <c r="X25" s="146">
        <v>333</v>
      </c>
      <c r="Y25" s="184">
        <v>2.7E-2</v>
      </c>
      <c r="Z25" s="141">
        <f>+VLOOKUP($D25,'Pricing Conditions M1 SCBA'!C:I,7,FALSE)</f>
        <v>324</v>
      </c>
      <c r="AA25" s="141">
        <v>389</v>
      </c>
      <c r="AB25" s="141">
        <v>282</v>
      </c>
      <c r="AC25" s="141">
        <v>1361</v>
      </c>
      <c r="AD25" t="s">
        <v>435</v>
      </c>
      <c r="AE25">
        <v>1</v>
      </c>
      <c r="AF25" t="s">
        <v>437</v>
      </c>
      <c r="AG25" s="186">
        <f t="shared" si="5"/>
        <v>2.7777777777777679E-2</v>
      </c>
      <c r="AH25" s="186">
        <f t="shared" si="6"/>
        <v>2.7777777777777679E-2</v>
      </c>
      <c r="AI25" s="186">
        <f t="shared" si="7"/>
        <v>2.8277634961439535E-2</v>
      </c>
      <c r="AJ25" s="186">
        <f t="shared" si="8"/>
        <v>2.7777777777777679E-2</v>
      </c>
      <c r="AK25" s="186">
        <f t="shared" si="9"/>
        <v>2.7777777777777679E-2</v>
      </c>
      <c r="AL25" s="186">
        <f t="shared" si="10"/>
        <v>2.7777777777777679E-2</v>
      </c>
      <c r="AM25" s="186">
        <f t="shared" si="11"/>
        <v>2.7777777777777679E-2</v>
      </c>
      <c r="AN25" s="186">
        <f t="shared" si="12"/>
        <v>2.7777777777777679E-2</v>
      </c>
      <c r="AO25" s="186">
        <f t="shared" si="13"/>
        <v>2.7777777777777679E-2</v>
      </c>
      <c r="AP25" s="186">
        <f t="shared" si="14"/>
        <v>2.8368794326241176E-2</v>
      </c>
      <c r="AQ25" s="186">
        <f t="shared" si="15"/>
        <v>2.7185892725936744E-2</v>
      </c>
      <c r="AR25" s="186">
        <f t="shared" si="16"/>
        <v>2.7777777777777679E-2</v>
      </c>
      <c r="AV25" s="139">
        <v>43437</v>
      </c>
      <c r="AW25" s="139">
        <v>43830</v>
      </c>
      <c r="AY25" s="146">
        <v>315</v>
      </c>
      <c r="AZ25" s="146">
        <v>315</v>
      </c>
      <c r="BA25" s="146">
        <v>378</v>
      </c>
      <c r="BB25" s="146">
        <v>315</v>
      </c>
      <c r="BC25" s="146">
        <v>315</v>
      </c>
      <c r="BD25" s="146">
        <v>315</v>
      </c>
      <c r="BE25" s="146">
        <v>315</v>
      </c>
      <c r="BF25" s="146">
        <v>315</v>
      </c>
      <c r="BG25" s="146">
        <v>315</v>
      </c>
      <c r="BH25" s="146">
        <v>274</v>
      </c>
      <c r="BI25" s="146">
        <v>1323</v>
      </c>
      <c r="BJ25" s="146">
        <v>315</v>
      </c>
      <c r="BK25" s="146">
        <v>8474</v>
      </c>
    </row>
    <row r="26" spans="1:102" x14ac:dyDescent="0.25">
      <c r="A26" s="26" t="s">
        <v>187</v>
      </c>
      <c r="B26" s="14" t="s">
        <v>188</v>
      </c>
      <c r="C26" s="7" t="s">
        <v>189</v>
      </c>
      <c r="D26" s="7" t="s">
        <v>189</v>
      </c>
      <c r="E26" s="7"/>
      <c r="F26" s="163">
        <f>+VLOOKUP($D26,'Pricing Conditions M1 SCBA'!C:F,4,FALSE)</f>
        <v>401</v>
      </c>
      <c r="G26" t="s">
        <v>435</v>
      </c>
      <c r="H26">
        <v>1</v>
      </c>
      <c r="I26" t="s">
        <v>460</v>
      </c>
      <c r="J26" s="164" t="s">
        <v>535</v>
      </c>
      <c r="K26" s="164" t="s">
        <v>524</v>
      </c>
      <c r="L26"/>
      <c r="M26" s="145">
        <f t="shared" si="1"/>
        <v>401</v>
      </c>
      <c r="N26" s="146">
        <f t="shared" si="0"/>
        <v>401</v>
      </c>
      <c r="O26" s="145">
        <f t="shared" si="2"/>
        <v>481</v>
      </c>
      <c r="P26" s="146">
        <v>401</v>
      </c>
      <c r="Q26" s="146">
        <v>401</v>
      </c>
      <c r="R26" s="146">
        <v>401</v>
      </c>
      <c r="S26" s="146">
        <v>401</v>
      </c>
      <c r="T26" s="146">
        <v>401</v>
      </c>
      <c r="U26" s="146">
        <v>401</v>
      </c>
      <c r="V26" s="145">
        <f t="shared" si="3"/>
        <v>348</v>
      </c>
      <c r="W26" s="145">
        <f t="shared" si="4"/>
        <v>1682</v>
      </c>
      <c r="X26" s="146">
        <v>401</v>
      </c>
      <c r="Y26" s="184">
        <v>2.7E-2</v>
      </c>
      <c r="Z26" s="141">
        <f>+VLOOKUP($D26,'Pricing Conditions M1 SCBA'!C:I,7,FALSE)</f>
        <v>390</v>
      </c>
      <c r="AA26" s="141">
        <v>468</v>
      </c>
      <c r="AB26" s="141">
        <v>339</v>
      </c>
      <c r="AC26" s="141">
        <v>1638</v>
      </c>
      <c r="AD26" t="s">
        <v>435</v>
      </c>
      <c r="AE26">
        <v>1</v>
      </c>
      <c r="AF26" t="s">
        <v>437</v>
      </c>
      <c r="AG26" s="186">
        <f t="shared" si="5"/>
        <v>2.8205128205128105E-2</v>
      </c>
      <c r="AH26" s="186">
        <f t="shared" si="6"/>
        <v>2.8205128205128105E-2</v>
      </c>
      <c r="AI26" s="186">
        <f t="shared" si="7"/>
        <v>2.7777777777777679E-2</v>
      </c>
      <c r="AJ26" s="186">
        <f t="shared" si="8"/>
        <v>2.8205128205128105E-2</v>
      </c>
      <c r="AK26" s="186">
        <f t="shared" si="9"/>
        <v>2.8205128205128105E-2</v>
      </c>
      <c r="AL26" s="186">
        <f t="shared" si="10"/>
        <v>2.8205128205128105E-2</v>
      </c>
      <c r="AM26" s="186">
        <f t="shared" si="11"/>
        <v>2.8205128205128105E-2</v>
      </c>
      <c r="AN26" s="186">
        <f t="shared" si="12"/>
        <v>2.8205128205128105E-2</v>
      </c>
      <c r="AO26" s="186">
        <f t="shared" si="13"/>
        <v>2.8205128205128105E-2</v>
      </c>
      <c r="AP26" s="186">
        <f t="shared" si="14"/>
        <v>2.6548672566371723E-2</v>
      </c>
      <c r="AQ26" s="186">
        <f t="shared" si="15"/>
        <v>2.6862026862026767E-2</v>
      </c>
      <c r="AR26" s="186">
        <f t="shared" si="16"/>
        <v>2.8205128205128105E-2</v>
      </c>
      <c r="AV26" s="139">
        <v>43437</v>
      </c>
      <c r="AW26" s="139">
        <v>43830</v>
      </c>
      <c r="AY26" s="146">
        <v>380</v>
      </c>
      <c r="AZ26" s="146">
        <v>380</v>
      </c>
      <c r="BA26" s="146">
        <v>456</v>
      </c>
      <c r="BB26" s="146">
        <v>380</v>
      </c>
      <c r="BC26" s="146">
        <v>380</v>
      </c>
      <c r="BD26" s="146">
        <v>380</v>
      </c>
      <c r="BE26" s="146">
        <v>380</v>
      </c>
      <c r="BF26" s="146">
        <v>380</v>
      </c>
      <c r="BG26" s="146">
        <v>380</v>
      </c>
      <c r="BH26" s="146">
        <v>331</v>
      </c>
      <c r="BI26" s="146">
        <v>1596</v>
      </c>
      <c r="BJ26" s="146">
        <v>380</v>
      </c>
      <c r="BK26" s="146">
        <v>10222</v>
      </c>
    </row>
    <row r="27" spans="1:102" x14ac:dyDescent="0.25">
      <c r="A27" s="26" t="s">
        <v>20</v>
      </c>
      <c r="B27" s="14" t="s">
        <v>190</v>
      </c>
      <c r="C27" s="7" t="s">
        <v>191</v>
      </c>
      <c r="D27" s="7" t="s">
        <v>191</v>
      </c>
      <c r="E27" s="7"/>
      <c r="F27" s="163">
        <f>+VLOOKUP($D27,'Pricing Conditions M1 SCBA'!C:F,4,FALSE)</f>
        <v>737</v>
      </c>
      <c r="G27" t="s">
        <v>435</v>
      </c>
      <c r="H27">
        <v>1</v>
      </c>
      <c r="I27" t="s">
        <v>460</v>
      </c>
      <c r="J27" s="164" t="s">
        <v>535</v>
      </c>
      <c r="K27" s="164" t="s">
        <v>524</v>
      </c>
      <c r="L27"/>
      <c r="M27" s="145">
        <f t="shared" si="1"/>
        <v>737</v>
      </c>
      <c r="N27" s="146">
        <f t="shared" si="0"/>
        <v>737</v>
      </c>
      <c r="O27" s="145">
        <f t="shared" si="2"/>
        <v>885</v>
      </c>
      <c r="P27" s="146">
        <v>737</v>
      </c>
      <c r="Q27" s="146">
        <v>737</v>
      </c>
      <c r="R27" s="146">
        <v>737</v>
      </c>
      <c r="S27" s="146">
        <v>737</v>
      </c>
      <c r="T27" s="146">
        <v>737</v>
      </c>
      <c r="U27" s="146">
        <v>737</v>
      </c>
      <c r="V27" s="145">
        <f t="shared" si="3"/>
        <v>642</v>
      </c>
      <c r="W27" s="145">
        <f t="shared" si="4"/>
        <v>3097</v>
      </c>
      <c r="X27" s="146">
        <v>737</v>
      </c>
      <c r="Y27" s="184">
        <v>2.7E-2</v>
      </c>
      <c r="Z27" s="141">
        <f>+VLOOKUP($D27,'Pricing Conditions M1 SCBA'!C:I,7,FALSE)</f>
        <v>718</v>
      </c>
      <c r="AA27" s="141">
        <v>862</v>
      </c>
      <c r="AB27" s="141">
        <v>625</v>
      </c>
      <c r="AC27" s="141">
        <v>3016</v>
      </c>
      <c r="AD27" t="s">
        <v>435</v>
      </c>
      <c r="AE27">
        <v>1</v>
      </c>
      <c r="AF27" t="s">
        <v>437</v>
      </c>
      <c r="AG27" s="186">
        <f t="shared" si="5"/>
        <v>2.6462395543175532E-2</v>
      </c>
      <c r="AH27" s="186">
        <f t="shared" si="6"/>
        <v>2.6462395543175532E-2</v>
      </c>
      <c r="AI27" s="186">
        <f t="shared" si="7"/>
        <v>2.6682134570765736E-2</v>
      </c>
      <c r="AJ27" s="186">
        <f t="shared" si="8"/>
        <v>2.6462395543175532E-2</v>
      </c>
      <c r="AK27" s="186">
        <f t="shared" si="9"/>
        <v>2.6462395543175532E-2</v>
      </c>
      <c r="AL27" s="186">
        <f t="shared" si="10"/>
        <v>2.6462395543175532E-2</v>
      </c>
      <c r="AM27" s="186">
        <f t="shared" si="11"/>
        <v>2.6462395543175532E-2</v>
      </c>
      <c r="AN27" s="186">
        <f t="shared" si="12"/>
        <v>2.6462395543175532E-2</v>
      </c>
      <c r="AO27" s="186">
        <f t="shared" si="13"/>
        <v>2.6462395543175532E-2</v>
      </c>
      <c r="AP27" s="186">
        <f t="shared" si="14"/>
        <v>2.7199999999999891E-2</v>
      </c>
      <c r="AQ27" s="186">
        <f t="shared" si="15"/>
        <v>2.6856763925729332E-2</v>
      </c>
      <c r="AR27" s="186">
        <f t="shared" si="16"/>
        <v>2.6462395543175532E-2</v>
      </c>
      <c r="AV27" s="139">
        <v>43437</v>
      </c>
      <c r="AW27" s="139">
        <v>43830</v>
      </c>
      <c r="AY27" s="146">
        <v>699</v>
      </c>
      <c r="AZ27" s="146">
        <v>699</v>
      </c>
      <c r="BA27" s="146">
        <v>839</v>
      </c>
      <c r="BB27" s="146">
        <v>699</v>
      </c>
      <c r="BC27" s="146">
        <v>699</v>
      </c>
      <c r="BD27" s="146">
        <v>699</v>
      </c>
      <c r="BE27" s="146">
        <v>699</v>
      </c>
      <c r="BF27" s="146">
        <v>699</v>
      </c>
      <c r="BG27" s="146">
        <v>699</v>
      </c>
      <c r="BH27" s="146">
        <v>608</v>
      </c>
      <c r="BI27" s="146">
        <v>2936</v>
      </c>
      <c r="BJ27" s="146">
        <v>699</v>
      </c>
      <c r="BK27" s="146">
        <v>18803</v>
      </c>
    </row>
    <row r="28" spans="1:102" x14ac:dyDescent="0.25">
      <c r="A28" s="26" t="s">
        <v>200</v>
      </c>
      <c r="B28" s="14" t="s">
        <v>201</v>
      </c>
      <c r="C28" s="7" t="s">
        <v>202</v>
      </c>
      <c r="D28" s="7" t="s">
        <v>202</v>
      </c>
      <c r="E28" s="7"/>
      <c r="F28" s="163">
        <f>+VLOOKUP($D28,'Pricing Conditions M1 SCBA'!C:F,4,FALSE)</f>
        <v>237</v>
      </c>
      <c r="G28" t="s">
        <v>435</v>
      </c>
      <c r="H28">
        <v>1</v>
      </c>
      <c r="I28" t="s">
        <v>460</v>
      </c>
      <c r="J28" s="164" t="s">
        <v>535</v>
      </c>
      <c r="K28" s="164" t="s">
        <v>524</v>
      </c>
      <c r="L28"/>
      <c r="M28" s="145">
        <f t="shared" si="1"/>
        <v>237</v>
      </c>
      <c r="N28" s="146">
        <f t="shared" si="0"/>
        <v>237</v>
      </c>
      <c r="O28" s="145">
        <f t="shared" si="2"/>
        <v>284</v>
      </c>
      <c r="P28" s="146">
        <v>237</v>
      </c>
      <c r="Q28" s="146">
        <v>237</v>
      </c>
      <c r="R28" s="146">
        <v>237</v>
      </c>
      <c r="S28" s="146">
        <v>237</v>
      </c>
      <c r="T28" s="146">
        <v>237</v>
      </c>
      <c r="U28" s="146">
        <v>237</v>
      </c>
      <c r="V28" s="145">
        <f t="shared" si="3"/>
        <v>206</v>
      </c>
      <c r="W28" s="145">
        <f t="shared" si="4"/>
        <v>995</v>
      </c>
      <c r="X28" s="146">
        <v>237</v>
      </c>
      <c r="Y28" s="190">
        <v>0</v>
      </c>
      <c r="Z28" s="141">
        <f>+VLOOKUP($D28,'Pricing Conditions M1 SCBA'!C:I,7,FALSE)</f>
        <v>237</v>
      </c>
      <c r="AA28" s="141">
        <v>284</v>
      </c>
      <c r="AB28" s="141">
        <v>206</v>
      </c>
      <c r="AC28" s="141">
        <v>995</v>
      </c>
      <c r="AD28" t="s">
        <v>435</v>
      </c>
      <c r="AE28">
        <v>1</v>
      </c>
      <c r="AF28" t="s">
        <v>437</v>
      </c>
      <c r="AG28" s="186">
        <f t="shared" si="5"/>
        <v>0</v>
      </c>
      <c r="AH28" s="186">
        <f t="shared" si="6"/>
        <v>0</v>
      </c>
      <c r="AI28" s="186">
        <f t="shared" si="7"/>
        <v>0</v>
      </c>
      <c r="AJ28" s="186">
        <f t="shared" si="8"/>
        <v>0</v>
      </c>
      <c r="AK28" s="186">
        <f t="shared" si="9"/>
        <v>0</v>
      </c>
      <c r="AL28" s="186">
        <f t="shared" si="10"/>
        <v>0</v>
      </c>
      <c r="AM28" s="186">
        <f t="shared" si="11"/>
        <v>0</v>
      </c>
      <c r="AN28" s="186">
        <f t="shared" si="12"/>
        <v>0</v>
      </c>
      <c r="AO28" s="186">
        <f t="shared" si="13"/>
        <v>0</v>
      </c>
      <c r="AP28" s="186">
        <f t="shared" si="14"/>
        <v>0</v>
      </c>
      <c r="AQ28" s="186">
        <f t="shared" si="15"/>
        <v>0</v>
      </c>
      <c r="AR28" s="186">
        <f t="shared" si="16"/>
        <v>0</v>
      </c>
      <c r="AV28" s="139">
        <v>43437</v>
      </c>
      <c r="AW28" s="139">
        <v>43830</v>
      </c>
      <c r="AY28" s="146">
        <v>231</v>
      </c>
      <c r="AZ28" s="146">
        <v>231</v>
      </c>
      <c r="BA28" s="146">
        <v>277</v>
      </c>
      <c r="BB28" s="146">
        <v>231</v>
      </c>
      <c r="BC28" s="146">
        <v>231</v>
      </c>
      <c r="BD28" s="146">
        <v>231</v>
      </c>
      <c r="BE28" s="146">
        <v>231</v>
      </c>
      <c r="BF28" s="146">
        <v>231</v>
      </c>
      <c r="BG28" s="146">
        <v>231</v>
      </c>
      <c r="BH28" s="146">
        <v>201</v>
      </c>
      <c r="BI28" s="146">
        <v>970</v>
      </c>
      <c r="BJ28" s="146">
        <v>231</v>
      </c>
      <c r="BK28" s="146">
        <v>6214</v>
      </c>
    </row>
    <row r="29" spans="1:102" ht="18.600000000000001" customHeight="1" x14ac:dyDescent="0.25">
      <c r="A29" s="26" t="s">
        <v>204</v>
      </c>
      <c r="B29" s="14" t="s">
        <v>205</v>
      </c>
      <c r="C29" s="7" t="s">
        <v>206</v>
      </c>
      <c r="D29" s="7" t="s">
        <v>206</v>
      </c>
      <c r="E29" s="7"/>
      <c r="F29" s="163">
        <f>+VLOOKUP($D29,'Pricing Conditions M1 SCBA'!C:F,4,FALSE)</f>
        <v>559</v>
      </c>
      <c r="G29" t="s">
        <v>435</v>
      </c>
      <c r="H29">
        <v>1</v>
      </c>
      <c r="I29" t="s">
        <v>460</v>
      </c>
      <c r="J29" s="164" t="s">
        <v>535</v>
      </c>
      <c r="K29" s="164" t="s">
        <v>524</v>
      </c>
      <c r="L29"/>
      <c r="M29" s="145">
        <f t="shared" si="1"/>
        <v>559</v>
      </c>
      <c r="N29" s="146">
        <f t="shared" si="0"/>
        <v>559</v>
      </c>
      <c r="O29" s="145">
        <f t="shared" si="2"/>
        <v>671</v>
      </c>
      <c r="P29" s="146">
        <v>559</v>
      </c>
      <c r="Q29" s="146">
        <v>559</v>
      </c>
      <c r="R29" s="146">
        <v>559</v>
      </c>
      <c r="S29" s="146">
        <v>559</v>
      </c>
      <c r="T29" s="146">
        <v>559</v>
      </c>
      <c r="U29" s="146">
        <v>559</v>
      </c>
      <c r="V29" s="145">
        <f t="shared" si="3"/>
        <v>486</v>
      </c>
      <c r="W29" s="145">
        <f t="shared" si="4"/>
        <v>2347</v>
      </c>
      <c r="X29" s="146">
        <v>559</v>
      </c>
      <c r="Y29" s="190">
        <v>0.1</v>
      </c>
      <c r="Z29" s="141">
        <f>+VLOOKUP($D29,'Pricing Conditions M1 SCBA'!C:I,7,FALSE)</f>
        <v>508</v>
      </c>
      <c r="AA29" s="141">
        <v>610</v>
      </c>
      <c r="AB29" s="141">
        <v>442</v>
      </c>
      <c r="AC29" s="141">
        <v>2134</v>
      </c>
      <c r="AD29" t="s">
        <v>435</v>
      </c>
      <c r="AE29">
        <v>1</v>
      </c>
      <c r="AF29" t="s">
        <v>437</v>
      </c>
      <c r="AG29" s="186">
        <f t="shared" si="5"/>
        <v>0.10039370078740162</v>
      </c>
      <c r="AH29" s="186">
        <f t="shared" si="6"/>
        <v>0.10039370078740162</v>
      </c>
      <c r="AI29" s="186">
        <f t="shared" si="7"/>
        <v>0.10000000000000009</v>
      </c>
      <c r="AJ29" s="186">
        <f t="shared" si="8"/>
        <v>0.10039370078740162</v>
      </c>
      <c r="AK29" s="186">
        <f t="shared" si="9"/>
        <v>0.10039370078740162</v>
      </c>
      <c r="AL29" s="186">
        <f t="shared" si="10"/>
        <v>0.10039370078740162</v>
      </c>
      <c r="AM29" s="186">
        <f t="shared" si="11"/>
        <v>0.10039370078740162</v>
      </c>
      <c r="AN29" s="186">
        <f t="shared" si="12"/>
        <v>0.10039370078740162</v>
      </c>
      <c r="AO29" s="186">
        <f t="shared" si="13"/>
        <v>0.10039370078740162</v>
      </c>
      <c r="AP29" s="186">
        <f t="shared" si="14"/>
        <v>9.9547511312217285E-2</v>
      </c>
      <c r="AQ29" s="186">
        <f t="shared" si="15"/>
        <v>9.9812558575445243E-2</v>
      </c>
      <c r="AR29" s="186">
        <f t="shared" si="16"/>
        <v>0.10039370078740162</v>
      </c>
      <c r="AV29" s="139">
        <v>43437</v>
      </c>
      <c r="AW29" s="139">
        <v>43830</v>
      </c>
      <c r="AY29" s="146">
        <v>495</v>
      </c>
      <c r="AZ29" s="146">
        <v>495</v>
      </c>
      <c r="BA29" s="146">
        <v>594</v>
      </c>
      <c r="BB29" s="146">
        <v>495</v>
      </c>
      <c r="BC29" s="146">
        <v>495</v>
      </c>
      <c r="BD29" s="146">
        <v>495</v>
      </c>
      <c r="BE29" s="146">
        <v>495</v>
      </c>
      <c r="BF29" s="146">
        <v>495</v>
      </c>
      <c r="BG29" s="146">
        <v>495</v>
      </c>
      <c r="BH29" s="146">
        <v>431</v>
      </c>
      <c r="BI29" s="146">
        <v>2079</v>
      </c>
      <c r="BJ29" s="146">
        <v>495</v>
      </c>
      <c r="BK29" s="146">
        <v>13316</v>
      </c>
    </row>
    <row r="30" spans="1:102" x14ac:dyDescent="0.25">
      <c r="A30" s="26" t="s">
        <v>215</v>
      </c>
      <c r="B30" s="14" t="s">
        <v>216</v>
      </c>
      <c r="C30" s="7" t="s">
        <v>217</v>
      </c>
      <c r="D30" s="7" t="s">
        <v>217</v>
      </c>
      <c r="E30" s="7"/>
      <c r="F30" s="163">
        <f>+VLOOKUP($D30,'Pricing Conditions M1 SCBA'!C:F,4,FALSE)</f>
        <v>401</v>
      </c>
      <c r="G30" t="s">
        <v>435</v>
      </c>
      <c r="H30">
        <v>1</v>
      </c>
      <c r="I30" t="s">
        <v>460</v>
      </c>
      <c r="J30" s="164" t="s">
        <v>535</v>
      </c>
      <c r="K30" s="164" t="s">
        <v>524</v>
      </c>
      <c r="L30"/>
      <c r="M30" s="145">
        <f t="shared" si="1"/>
        <v>401</v>
      </c>
      <c r="N30" s="146">
        <f t="shared" si="0"/>
        <v>401</v>
      </c>
      <c r="O30" s="145">
        <f t="shared" si="2"/>
        <v>481</v>
      </c>
      <c r="P30" s="146">
        <v>401</v>
      </c>
      <c r="Q30" s="146">
        <v>401</v>
      </c>
      <c r="R30" s="146">
        <v>401</v>
      </c>
      <c r="S30" s="146">
        <v>401</v>
      </c>
      <c r="T30" s="146">
        <v>401</v>
      </c>
      <c r="U30" s="146">
        <v>401</v>
      </c>
      <c r="V30" s="145">
        <f t="shared" si="3"/>
        <v>348</v>
      </c>
      <c r="W30" s="145">
        <f t="shared" si="4"/>
        <v>1682</v>
      </c>
      <c r="X30" s="146">
        <v>401</v>
      </c>
      <c r="Y30" s="184">
        <v>2.7E-2</v>
      </c>
      <c r="Z30" s="141">
        <f>+VLOOKUP($D30,'Pricing Conditions M1 SCBA'!C:I,7,FALSE)</f>
        <v>390</v>
      </c>
      <c r="AA30" s="141">
        <v>468</v>
      </c>
      <c r="AB30" s="141">
        <v>339</v>
      </c>
      <c r="AC30" s="141">
        <v>1638</v>
      </c>
      <c r="AD30" s="11" t="s">
        <v>435</v>
      </c>
      <c r="AE30" s="11">
        <v>1</v>
      </c>
      <c r="AF30" s="11" t="s">
        <v>437</v>
      </c>
      <c r="AG30" s="188">
        <f t="shared" si="5"/>
        <v>2.8205128205128105E-2</v>
      </c>
      <c r="AH30" s="188">
        <f t="shared" si="6"/>
        <v>2.8205128205128105E-2</v>
      </c>
      <c r="AI30" s="188">
        <f t="shared" si="7"/>
        <v>2.7777777777777679E-2</v>
      </c>
      <c r="AJ30" s="188">
        <f t="shared" si="8"/>
        <v>2.8205128205128105E-2</v>
      </c>
      <c r="AK30" s="188">
        <f t="shared" si="9"/>
        <v>2.8205128205128105E-2</v>
      </c>
      <c r="AL30" s="188">
        <f t="shared" si="10"/>
        <v>2.8205128205128105E-2</v>
      </c>
      <c r="AM30" s="188">
        <f t="shared" si="11"/>
        <v>2.8205128205128105E-2</v>
      </c>
      <c r="AN30" s="188">
        <f t="shared" si="12"/>
        <v>2.8205128205128105E-2</v>
      </c>
      <c r="AO30" s="188">
        <f t="shared" si="13"/>
        <v>2.8205128205128105E-2</v>
      </c>
      <c r="AP30" s="188">
        <f t="shared" si="14"/>
        <v>2.6548672566371723E-2</v>
      </c>
      <c r="AQ30" s="188">
        <f t="shared" si="15"/>
        <v>2.6862026862026767E-2</v>
      </c>
      <c r="AR30" s="188">
        <f t="shared" si="16"/>
        <v>2.8205128205128105E-2</v>
      </c>
      <c r="AS30" s="11"/>
      <c r="AT30" s="11"/>
      <c r="AU30" s="11"/>
      <c r="AV30" s="189">
        <v>43437</v>
      </c>
      <c r="AW30" s="189">
        <v>43830</v>
      </c>
      <c r="AX30" s="11"/>
      <c r="AY30" s="146">
        <v>380</v>
      </c>
      <c r="AZ30" s="146">
        <v>380</v>
      </c>
      <c r="BA30" s="146">
        <v>456</v>
      </c>
      <c r="BB30" s="146">
        <v>380</v>
      </c>
      <c r="BC30" s="146">
        <v>380</v>
      </c>
      <c r="BD30" s="146">
        <v>380</v>
      </c>
      <c r="BE30" s="146">
        <v>380</v>
      </c>
      <c r="BF30" s="146">
        <v>380</v>
      </c>
      <c r="BG30" s="146">
        <v>380</v>
      </c>
      <c r="BH30" s="146">
        <v>331</v>
      </c>
      <c r="BI30" s="146">
        <v>1596</v>
      </c>
      <c r="BJ30" s="146">
        <v>380</v>
      </c>
      <c r="BK30" s="146">
        <v>10222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</row>
    <row r="31" spans="1:102" x14ac:dyDescent="0.25">
      <c r="A31" s="26" t="s">
        <v>218</v>
      </c>
      <c r="B31" s="14" t="s">
        <v>219</v>
      </c>
      <c r="C31" s="7" t="s">
        <v>220</v>
      </c>
      <c r="D31" s="7" t="s">
        <v>220</v>
      </c>
      <c r="E31" s="7"/>
      <c r="F31" s="163">
        <f>+VLOOKUP($D31,'Pricing Conditions M1 SCBA'!C:F,4,FALSE)</f>
        <v>358</v>
      </c>
      <c r="G31" t="s">
        <v>435</v>
      </c>
      <c r="H31">
        <v>1</v>
      </c>
      <c r="I31" t="s">
        <v>460</v>
      </c>
      <c r="J31" s="164" t="s">
        <v>535</v>
      </c>
      <c r="K31" s="164" t="s">
        <v>524</v>
      </c>
      <c r="L31"/>
      <c r="M31" s="145">
        <f t="shared" si="1"/>
        <v>358</v>
      </c>
      <c r="N31" s="146">
        <f t="shared" si="0"/>
        <v>358</v>
      </c>
      <c r="O31" s="145">
        <f t="shared" si="2"/>
        <v>430</v>
      </c>
      <c r="P31" s="146">
        <v>358</v>
      </c>
      <c r="Q31" s="146">
        <v>358</v>
      </c>
      <c r="R31" s="146">
        <v>358</v>
      </c>
      <c r="S31" s="146">
        <v>358</v>
      </c>
      <c r="T31" s="146">
        <v>358</v>
      </c>
      <c r="U31" s="146">
        <v>358</v>
      </c>
      <c r="V31" s="145">
        <f t="shared" si="3"/>
        <v>312</v>
      </c>
      <c r="W31" s="145">
        <f t="shared" si="4"/>
        <v>1506</v>
      </c>
      <c r="X31" s="146">
        <v>358</v>
      </c>
      <c r="Y31" s="184">
        <v>2.7E-2</v>
      </c>
      <c r="Z31" s="141">
        <f>+VLOOKUP($D31,'Pricing Conditions M1 SCBA'!C:I,7,FALSE)</f>
        <v>349</v>
      </c>
      <c r="AA31" s="141">
        <v>419</v>
      </c>
      <c r="AB31" s="141">
        <v>304</v>
      </c>
      <c r="AC31" s="141">
        <v>1466</v>
      </c>
      <c r="AD31" s="11" t="s">
        <v>435</v>
      </c>
      <c r="AE31" s="11">
        <v>1</v>
      </c>
      <c r="AF31" s="11" t="s">
        <v>437</v>
      </c>
      <c r="AG31" s="188">
        <f t="shared" si="5"/>
        <v>2.5787965616045794E-2</v>
      </c>
      <c r="AH31" s="188">
        <f t="shared" si="6"/>
        <v>2.5787965616045794E-2</v>
      </c>
      <c r="AI31" s="188">
        <f t="shared" si="7"/>
        <v>2.6252983293556076E-2</v>
      </c>
      <c r="AJ31" s="188">
        <f t="shared" si="8"/>
        <v>2.5787965616045794E-2</v>
      </c>
      <c r="AK31" s="188">
        <f t="shared" si="9"/>
        <v>2.5787965616045794E-2</v>
      </c>
      <c r="AL31" s="188">
        <f t="shared" si="10"/>
        <v>2.5787965616045794E-2</v>
      </c>
      <c r="AM31" s="188">
        <f t="shared" si="11"/>
        <v>2.5787965616045794E-2</v>
      </c>
      <c r="AN31" s="188">
        <f t="shared" si="12"/>
        <v>2.5787965616045794E-2</v>
      </c>
      <c r="AO31" s="188">
        <f t="shared" si="13"/>
        <v>2.5787965616045794E-2</v>
      </c>
      <c r="AP31" s="188">
        <f t="shared" si="14"/>
        <v>2.6315789473684292E-2</v>
      </c>
      <c r="AQ31" s="188">
        <f t="shared" si="15"/>
        <v>2.7285129604365688E-2</v>
      </c>
      <c r="AR31" s="188">
        <f t="shared" si="16"/>
        <v>2.5787965616045794E-2</v>
      </c>
      <c r="AS31" s="11"/>
      <c r="AT31" s="11"/>
      <c r="AU31" s="11"/>
      <c r="AV31" s="189">
        <v>43437</v>
      </c>
      <c r="AW31" s="189">
        <v>43830</v>
      </c>
      <c r="AX31" s="11"/>
      <c r="AY31" s="146">
        <v>340</v>
      </c>
      <c r="AZ31" s="146">
        <v>340</v>
      </c>
      <c r="BA31" s="146">
        <v>408</v>
      </c>
      <c r="BB31" s="146">
        <v>340</v>
      </c>
      <c r="BC31" s="146">
        <v>340</v>
      </c>
      <c r="BD31" s="146">
        <v>340</v>
      </c>
      <c r="BE31" s="146">
        <v>340</v>
      </c>
      <c r="BF31" s="146">
        <v>340</v>
      </c>
      <c r="BG31" s="146">
        <v>340</v>
      </c>
      <c r="BH31" s="146">
        <v>296</v>
      </c>
      <c r="BI31" s="146">
        <v>1428</v>
      </c>
      <c r="BJ31" s="146">
        <v>340</v>
      </c>
      <c r="BK31" s="146">
        <v>9146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</row>
    <row r="32" spans="1:102" s="11" customFormat="1" x14ac:dyDescent="0.25">
      <c r="A32" s="26" t="s">
        <v>221</v>
      </c>
      <c r="B32" s="14" t="s">
        <v>222</v>
      </c>
      <c r="C32" s="7" t="s">
        <v>223</v>
      </c>
      <c r="D32" s="7" t="s">
        <v>223</v>
      </c>
      <c r="E32" s="165"/>
      <c r="F32" s="166">
        <f>+VLOOKUP($D32,'Pricing Conditions M1 SCBA'!C:F,4,FALSE)</f>
        <v>297</v>
      </c>
      <c r="G32" s="11" t="s">
        <v>435</v>
      </c>
      <c r="H32" s="11">
        <v>1</v>
      </c>
      <c r="I32" s="11" t="s">
        <v>460</v>
      </c>
      <c r="J32" s="187" t="s">
        <v>535</v>
      </c>
      <c r="K32" s="164" t="s">
        <v>524</v>
      </c>
      <c r="M32" s="145">
        <f t="shared" si="1"/>
        <v>297</v>
      </c>
      <c r="N32" s="146">
        <f t="shared" si="0"/>
        <v>297</v>
      </c>
      <c r="O32" s="145">
        <f t="shared" si="2"/>
        <v>356</v>
      </c>
      <c r="P32" s="146">
        <v>297</v>
      </c>
      <c r="Q32" s="146">
        <v>297</v>
      </c>
      <c r="R32" s="146">
        <v>297</v>
      </c>
      <c r="S32" s="146">
        <v>297</v>
      </c>
      <c r="T32" s="146">
        <v>297</v>
      </c>
      <c r="U32" s="146">
        <v>297</v>
      </c>
      <c r="V32" s="145">
        <f t="shared" si="3"/>
        <v>258</v>
      </c>
      <c r="W32" s="145">
        <f t="shared" si="4"/>
        <v>1247</v>
      </c>
      <c r="X32" s="146">
        <v>297</v>
      </c>
      <c r="Y32" s="184">
        <v>2.7E-2</v>
      </c>
      <c r="Z32" s="141">
        <f>+VLOOKUP($D32,'Pricing Conditions M1 SCBA'!C:I,7,FALSE)</f>
        <v>289</v>
      </c>
      <c r="AA32" s="141">
        <v>347</v>
      </c>
      <c r="AB32" s="141">
        <v>251</v>
      </c>
      <c r="AC32" s="141">
        <v>1214</v>
      </c>
      <c r="AD32" s="11" t="s">
        <v>435</v>
      </c>
      <c r="AE32" s="11">
        <v>1</v>
      </c>
      <c r="AF32" s="11" t="s">
        <v>437</v>
      </c>
      <c r="AG32" s="188">
        <f t="shared" si="5"/>
        <v>2.7681660899653959E-2</v>
      </c>
      <c r="AH32" s="188">
        <f t="shared" si="6"/>
        <v>2.7681660899653959E-2</v>
      </c>
      <c r="AI32" s="188">
        <f t="shared" si="7"/>
        <v>2.5936599423631135E-2</v>
      </c>
      <c r="AJ32" s="188">
        <f t="shared" si="8"/>
        <v>2.7681660899653959E-2</v>
      </c>
      <c r="AK32" s="188">
        <f t="shared" si="9"/>
        <v>2.7681660899653959E-2</v>
      </c>
      <c r="AL32" s="188">
        <f t="shared" si="10"/>
        <v>2.7681660899653959E-2</v>
      </c>
      <c r="AM32" s="188">
        <f t="shared" si="11"/>
        <v>2.7681660899653959E-2</v>
      </c>
      <c r="AN32" s="188">
        <f t="shared" si="12"/>
        <v>2.7681660899653959E-2</v>
      </c>
      <c r="AO32" s="188">
        <f t="shared" si="13"/>
        <v>2.7681660899653959E-2</v>
      </c>
      <c r="AP32" s="188">
        <f t="shared" si="14"/>
        <v>2.7888446215139417E-2</v>
      </c>
      <c r="AQ32" s="188">
        <f t="shared" si="15"/>
        <v>2.7182866556836993E-2</v>
      </c>
      <c r="AR32" s="188">
        <f t="shared" si="16"/>
        <v>2.7681660899653959E-2</v>
      </c>
      <c r="AV32" s="189">
        <v>43437</v>
      </c>
      <c r="AW32" s="189">
        <v>43830</v>
      </c>
      <c r="AY32" s="146">
        <v>281</v>
      </c>
      <c r="AZ32" s="146">
        <v>281</v>
      </c>
      <c r="BA32" s="146">
        <v>337</v>
      </c>
      <c r="BB32" s="146">
        <v>281</v>
      </c>
      <c r="BC32" s="146">
        <v>281</v>
      </c>
      <c r="BD32" s="146">
        <v>281</v>
      </c>
      <c r="BE32" s="146">
        <v>281</v>
      </c>
      <c r="BF32" s="146">
        <v>281</v>
      </c>
      <c r="BG32" s="146">
        <v>281</v>
      </c>
      <c r="BH32" s="146">
        <v>244</v>
      </c>
      <c r="BI32" s="146">
        <v>1180</v>
      </c>
      <c r="BJ32" s="146">
        <v>281</v>
      </c>
      <c r="BK32" s="146">
        <v>7559</v>
      </c>
    </row>
    <row r="33" spans="1:102" x14ac:dyDescent="0.25">
      <c r="A33" s="26" t="s">
        <v>225</v>
      </c>
      <c r="B33" s="14" t="s">
        <v>226</v>
      </c>
      <c r="C33" s="7" t="s">
        <v>227</v>
      </c>
      <c r="D33" s="7" t="s">
        <v>227</v>
      </c>
      <c r="E33" s="7"/>
      <c r="F33" s="163">
        <f>+VLOOKUP($D33,'Pricing Conditions M1 SCBA'!C:F,4,FALSE)</f>
        <v>870</v>
      </c>
      <c r="G33" t="s">
        <v>435</v>
      </c>
      <c r="H33">
        <v>1</v>
      </c>
      <c r="I33" t="s">
        <v>460</v>
      </c>
      <c r="J33" s="164" t="s">
        <v>535</v>
      </c>
      <c r="K33" s="164" t="s">
        <v>524</v>
      </c>
      <c r="L33"/>
      <c r="M33" s="145">
        <f t="shared" si="1"/>
        <v>870</v>
      </c>
      <c r="N33" s="146">
        <f t="shared" si="0"/>
        <v>870</v>
      </c>
      <c r="O33" s="145">
        <f t="shared" si="2"/>
        <v>1043</v>
      </c>
      <c r="P33" s="146">
        <v>870</v>
      </c>
      <c r="Q33" s="146">
        <v>870</v>
      </c>
      <c r="R33" s="146">
        <v>870</v>
      </c>
      <c r="S33" s="146">
        <v>870</v>
      </c>
      <c r="T33" s="146">
        <v>870</v>
      </c>
      <c r="U33" s="146">
        <v>870</v>
      </c>
      <c r="V33" s="145">
        <f t="shared" si="3"/>
        <v>757</v>
      </c>
      <c r="W33" s="145">
        <f t="shared" si="4"/>
        <v>3653</v>
      </c>
      <c r="X33" s="146">
        <v>870</v>
      </c>
      <c r="Y33" s="184">
        <v>2.7E-2</v>
      </c>
      <c r="Z33" s="141">
        <f>+VLOOKUP($D33,'Pricing Conditions M1 SCBA'!C:I,7,FALSE)</f>
        <v>847</v>
      </c>
      <c r="AA33" s="141">
        <v>1016</v>
      </c>
      <c r="AB33" s="141">
        <v>737</v>
      </c>
      <c r="AC33" s="141">
        <v>3557</v>
      </c>
      <c r="AD33" s="11" t="s">
        <v>435</v>
      </c>
      <c r="AE33" s="11">
        <v>1</v>
      </c>
      <c r="AF33" s="11" t="s">
        <v>437</v>
      </c>
      <c r="AG33" s="188">
        <f t="shared" si="5"/>
        <v>2.7154663518299982E-2</v>
      </c>
      <c r="AH33" s="188">
        <f t="shared" si="6"/>
        <v>2.7154663518299982E-2</v>
      </c>
      <c r="AI33" s="188">
        <f t="shared" si="7"/>
        <v>2.6574803149606252E-2</v>
      </c>
      <c r="AJ33" s="188">
        <f t="shared" si="8"/>
        <v>2.7154663518299982E-2</v>
      </c>
      <c r="AK33" s="188">
        <f t="shared" si="9"/>
        <v>2.7154663518299982E-2</v>
      </c>
      <c r="AL33" s="188">
        <f t="shared" si="10"/>
        <v>2.7154663518299982E-2</v>
      </c>
      <c r="AM33" s="188">
        <f t="shared" si="11"/>
        <v>2.7154663518299982E-2</v>
      </c>
      <c r="AN33" s="188">
        <f t="shared" si="12"/>
        <v>2.7154663518299982E-2</v>
      </c>
      <c r="AO33" s="188">
        <f t="shared" si="13"/>
        <v>2.7154663518299982E-2</v>
      </c>
      <c r="AP33" s="188">
        <f t="shared" si="14"/>
        <v>2.7137042062415295E-2</v>
      </c>
      <c r="AQ33" s="188">
        <f t="shared" si="15"/>
        <v>2.6989035704245046E-2</v>
      </c>
      <c r="AR33" s="188">
        <f t="shared" si="16"/>
        <v>2.7154663518299982E-2</v>
      </c>
      <c r="AS33" s="11"/>
      <c r="AT33" s="11"/>
      <c r="AU33" s="11"/>
      <c r="AV33" s="189">
        <v>43437</v>
      </c>
      <c r="AW33" s="189">
        <v>43830</v>
      </c>
      <c r="AX33" s="11"/>
      <c r="AY33" s="146">
        <v>825</v>
      </c>
      <c r="AZ33" s="146">
        <v>825</v>
      </c>
      <c r="BA33" s="146">
        <v>990</v>
      </c>
      <c r="BB33" s="146">
        <v>825</v>
      </c>
      <c r="BC33" s="146">
        <v>825</v>
      </c>
      <c r="BD33" s="146">
        <v>825</v>
      </c>
      <c r="BE33" s="146">
        <v>825</v>
      </c>
      <c r="BF33" s="146">
        <v>825</v>
      </c>
      <c r="BG33" s="146">
        <v>825</v>
      </c>
      <c r="BH33" s="146">
        <v>718</v>
      </c>
      <c r="BI33" s="146">
        <v>3465</v>
      </c>
      <c r="BJ33" s="146">
        <v>825</v>
      </c>
      <c r="BK33" s="146">
        <v>22193</v>
      </c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</row>
    <row r="34" spans="1:102" x14ac:dyDescent="0.25">
      <c r="A34" s="26" t="s">
        <v>229</v>
      </c>
      <c r="B34" s="14" t="s">
        <v>230</v>
      </c>
      <c r="C34" s="7" t="s">
        <v>231</v>
      </c>
      <c r="D34" s="7" t="s">
        <v>231</v>
      </c>
      <c r="E34" s="7"/>
      <c r="F34" s="163">
        <f>+VLOOKUP($D34,'Pricing Conditions M1 SCBA'!C:F,4,FALSE)</f>
        <v>842</v>
      </c>
      <c r="G34" t="s">
        <v>435</v>
      </c>
      <c r="H34">
        <v>1</v>
      </c>
      <c r="I34" t="s">
        <v>460</v>
      </c>
      <c r="J34" s="164" t="s">
        <v>535</v>
      </c>
      <c r="K34" s="164" t="s">
        <v>524</v>
      </c>
      <c r="L34"/>
      <c r="M34" s="145">
        <f t="shared" si="1"/>
        <v>842</v>
      </c>
      <c r="N34" s="146">
        <f t="shared" si="0"/>
        <v>842</v>
      </c>
      <c r="O34" s="145">
        <f t="shared" si="2"/>
        <v>1011</v>
      </c>
      <c r="P34" s="146">
        <v>842</v>
      </c>
      <c r="Q34" s="146">
        <v>842</v>
      </c>
      <c r="R34" s="146">
        <v>842</v>
      </c>
      <c r="S34" s="146">
        <v>842</v>
      </c>
      <c r="T34" s="146">
        <v>842</v>
      </c>
      <c r="U34" s="146">
        <v>842</v>
      </c>
      <c r="V34" s="145">
        <f t="shared" si="3"/>
        <v>732</v>
      </c>
      <c r="W34" s="145">
        <f t="shared" si="4"/>
        <v>3537</v>
      </c>
      <c r="X34" s="146">
        <v>842</v>
      </c>
      <c r="Y34" s="184">
        <v>2.7E-2</v>
      </c>
      <c r="Z34" s="141">
        <f>+VLOOKUP($D34,'Pricing Conditions M1 SCBA'!C:I,7,FALSE)</f>
        <v>820</v>
      </c>
      <c r="AA34" s="141">
        <v>984</v>
      </c>
      <c r="AB34" s="141">
        <v>713</v>
      </c>
      <c r="AC34" s="141">
        <v>3444</v>
      </c>
      <c r="AD34" s="11" t="s">
        <v>435</v>
      </c>
      <c r="AE34" s="11">
        <v>1</v>
      </c>
      <c r="AF34" s="11" t="s">
        <v>437</v>
      </c>
      <c r="AG34" s="188">
        <f t="shared" si="5"/>
        <v>2.6829268292682951E-2</v>
      </c>
      <c r="AH34" s="188">
        <f t="shared" si="6"/>
        <v>2.6829268292682951E-2</v>
      </c>
      <c r="AI34" s="188">
        <f t="shared" si="7"/>
        <v>2.7439024390243816E-2</v>
      </c>
      <c r="AJ34" s="188">
        <f t="shared" si="8"/>
        <v>2.6829268292682951E-2</v>
      </c>
      <c r="AK34" s="188">
        <f t="shared" si="9"/>
        <v>2.6829268292682951E-2</v>
      </c>
      <c r="AL34" s="188">
        <f t="shared" si="10"/>
        <v>2.6829268292682951E-2</v>
      </c>
      <c r="AM34" s="188">
        <f t="shared" si="11"/>
        <v>2.6829268292682951E-2</v>
      </c>
      <c r="AN34" s="188">
        <f t="shared" si="12"/>
        <v>2.6829268292682951E-2</v>
      </c>
      <c r="AO34" s="188">
        <f t="shared" si="13"/>
        <v>2.6829268292682951E-2</v>
      </c>
      <c r="AP34" s="188">
        <f t="shared" si="14"/>
        <v>2.6647966339411022E-2</v>
      </c>
      <c r="AQ34" s="188">
        <f t="shared" si="15"/>
        <v>2.7003484320557547E-2</v>
      </c>
      <c r="AR34" s="188">
        <f t="shared" si="16"/>
        <v>2.6829268292682951E-2</v>
      </c>
      <c r="AS34" s="11"/>
      <c r="AT34" s="11"/>
      <c r="AU34" s="11"/>
      <c r="AV34" s="189">
        <v>43437</v>
      </c>
      <c r="AW34" s="189">
        <v>43830</v>
      </c>
      <c r="AX34" s="11"/>
      <c r="AY34" s="146">
        <v>798</v>
      </c>
      <c r="AZ34" s="146">
        <v>798</v>
      </c>
      <c r="BA34" s="146">
        <v>958</v>
      </c>
      <c r="BB34" s="146">
        <v>798</v>
      </c>
      <c r="BC34" s="146">
        <v>798</v>
      </c>
      <c r="BD34" s="146">
        <v>798</v>
      </c>
      <c r="BE34" s="146">
        <v>798</v>
      </c>
      <c r="BF34" s="146">
        <v>798</v>
      </c>
      <c r="BG34" s="146">
        <v>798</v>
      </c>
      <c r="BH34" s="146">
        <v>694</v>
      </c>
      <c r="BI34" s="146">
        <v>3352</v>
      </c>
      <c r="BJ34" s="146">
        <v>798</v>
      </c>
      <c r="BK34" s="146">
        <v>21466</v>
      </c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</row>
    <row r="35" spans="1:102" x14ac:dyDescent="0.25">
      <c r="A35" s="26" t="s">
        <v>232</v>
      </c>
      <c r="B35" s="14" t="s">
        <v>233</v>
      </c>
      <c r="C35" s="7" t="s">
        <v>234</v>
      </c>
      <c r="D35" s="7" t="s">
        <v>234</v>
      </c>
      <c r="E35" s="7"/>
      <c r="F35" s="163">
        <f>+VLOOKUP($D35,'Pricing Conditions M1 SCBA'!C:F,4,FALSE)</f>
        <v>174</v>
      </c>
      <c r="G35" t="s">
        <v>435</v>
      </c>
      <c r="H35">
        <v>1</v>
      </c>
      <c r="I35" t="s">
        <v>460</v>
      </c>
      <c r="J35" s="164" t="s">
        <v>535</v>
      </c>
      <c r="K35" s="164" t="s">
        <v>524</v>
      </c>
      <c r="L35"/>
      <c r="M35" s="145">
        <f t="shared" si="1"/>
        <v>174</v>
      </c>
      <c r="N35" s="146">
        <f t="shared" si="0"/>
        <v>174</v>
      </c>
      <c r="O35" s="145">
        <f t="shared" si="2"/>
        <v>208</v>
      </c>
      <c r="P35" s="146">
        <v>174</v>
      </c>
      <c r="Q35" s="146">
        <v>174</v>
      </c>
      <c r="R35" s="146">
        <v>174</v>
      </c>
      <c r="S35" s="146">
        <v>174</v>
      </c>
      <c r="T35" s="146">
        <v>174</v>
      </c>
      <c r="U35" s="146">
        <v>174</v>
      </c>
      <c r="V35" s="145">
        <f t="shared" si="3"/>
        <v>151</v>
      </c>
      <c r="W35" s="145">
        <f t="shared" si="4"/>
        <v>729</v>
      </c>
      <c r="X35" s="146">
        <v>174</v>
      </c>
      <c r="Y35" s="184">
        <v>2.7E-2</v>
      </c>
      <c r="Z35" s="141">
        <f>+VLOOKUP($D35,'Pricing Conditions M1 SCBA'!C:I,7,FALSE)</f>
        <v>169</v>
      </c>
      <c r="AA35" s="141">
        <v>203</v>
      </c>
      <c r="AB35" s="141">
        <v>147</v>
      </c>
      <c r="AC35" s="141">
        <v>710</v>
      </c>
      <c r="AD35" s="11" t="s">
        <v>435</v>
      </c>
      <c r="AE35" s="11">
        <v>1</v>
      </c>
      <c r="AF35" s="11" t="s">
        <v>437</v>
      </c>
      <c r="AG35" s="188">
        <f t="shared" si="5"/>
        <v>2.9585798816567976E-2</v>
      </c>
      <c r="AH35" s="188">
        <f t="shared" si="6"/>
        <v>2.9585798816567976E-2</v>
      </c>
      <c r="AI35" s="188">
        <f t="shared" si="7"/>
        <v>2.4630541871921263E-2</v>
      </c>
      <c r="AJ35" s="188">
        <f t="shared" si="8"/>
        <v>2.9585798816567976E-2</v>
      </c>
      <c r="AK35" s="188">
        <f t="shared" si="9"/>
        <v>2.9585798816567976E-2</v>
      </c>
      <c r="AL35" s="188">
        <f t="shared" si="10"/>
        <v>2.9585798816567976E-2</v>
      </c>
      <c r="AM35" s="188">
        <f t="shared" si="11"/>
        <v>2.9585798816567976E-2</v>
      </c>
      <c r="AN35" s="188">
        <f t="shared" si="12"/>
        <v>2.9585798816567976E-2</v>
      </c>
      <c r="AO35" s="188">
        <f t="shared" si="13"/>
        <v>2.9585798816567976E-2</v>
      </c>
      <c r="AP35" s="188">
        <f t="shared" si="14"/>
        <v>2.7210884353741527E-2</v>
      </c>
      <c r="AQ35" s="188">
        <f t="shared" si="15"/>
        <v>2.6760563380281654E-2</v>
      </c>
      <c r="AR35" s="188">
        <f t="shared" si="16"/>
        <v>2.9585798816567976E-2</v>
      </c>
      <c r="AS35" s="11"/>
      <c r="AT35" s="11"/>
      <c r="AU35" s="11"/>
      <c r="AV35" s="189">
        <v>43437</v>
      </c>
      <c r="AW35" s="189">
        <v>43830</v>
      </c>
      <c r="AX35" s="11"/>
      <c r="AY35" s="146">
        <v>165</v>
      </c>
      <c r="AZ35" s="146">
        <v>165</v>
      </c>
      <c r="BA35" s="146">
        <v>198</v>
      </c>
      <c r="BB35" s="146">
        <v>165</v>
      </c>
      <c r="BC35" s="146">
        <v>165</v>
      </c>
      <c r="BD35" s="146">
        <v>165</v>
      </c>
      <c r="BE35" s="146">
        <v>165</v>
      </c>
      <c r="BF35" s="146">
        <v>165</v>
      </c>
      <c r="BG35" s="146">
        <v>165</v>
      </c>
      <c r="BH35" s="146">
        <v>144</v>
      </c>
      <c r="BI35" s="146">
        <v>693</v>
      </c>
      <c r="BJ35" s="146">
        <v>165</v>
      </c>
      <c r="BK35" s="146">
        <v>4439</v>
      </c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</row>
    <row r="36" spans="1:102" x14ac:dyDescent="0.25">
      <c r="A36" s="26" t="s">
        <v>244</v>
      </c>
      <c r="B36" s="14" t="s">
        <v>245</v>
      </c>
      <c r="C36" s="7" t="s">
        <v>246</v>
      </c>
      <c r="D36" s="7" t="s">
        <v>246</v>
      </c>
      <c r="E36" s="7"/>
      <c r="F36" s="163">
        <f>+VLOOKUP($D36,'Pricing Conditions M1 SCBA'!C:F,4,FALSE)</f>
        <v>116</v>
      </c>
      <c r="G36" t="s">
        <v>435</v>
      </c>
      <c r="H36">
        <v>1</v>
      </c>
      <c r="I36" t="s">
        <v>460</v>
      </c>
      <c r="J36" s="164" t="s">
        <v>535</v>
      </c>
      <c r="K36" s="164" t="s">
        <v>524</v>
      </c>
      <c r="L36"/>
      <c r="M36" s="145">
        <f t="shared" si="1"/>
        <v>116</v>
      </c>
      <c r="N36" s="146">
        <f t="shared" si="0"/>
        <v>116</v>
      </c>
      <c r="O36" s="145">
        <f t="shared" si="2"/>
        <v>140</v>
      </c>
      <c r="P36" s="146">
        <v>116</v>
      </c>
      <c r="Q36" s="146">
        <v>116</v>
      </c>
      <c r="R36" s="146">
        <v>116</v>
      </c>
      <c r="S36" s="146">
        <v>116</v>
      </c>
      <c r="T36" s="146">
        <v>116</v>
      </c>
      <c r="U36" s="146">
        <v>116</v>
      </c>
      <c r="V36" s="145">
        <f t="shared" si="3"/>
        <v>101</v>
      </c>
      <c r="W36" s="145">
        <f t="shared" si="4"/>
        <v>488</v>
      </c>
      <c r="X36" s="146">
        <v>116</v>
      </c>
      <c r="Y36" s="184">
        <v>2.7E-2</v>
      </c>
      <c r="Z36" s="141">
        <f>+VLOOKUP($D36,'Pricing Conditions M1 SCBA'!C:I,7,FALSE)</f>
        <v>113</v>
      </c>
      <c r="AA36" s="141">
        <v>136</v>
      </c>
      <c r="AB36" s="141">
        <v>98</v>
      </c>
      <c r="AC36" s="141">
        <v>475</v>
      </c>
      <c r="AD36" t="s">
        <v>435</v>
      </c>
      <c r="AE36">
        <v>1</v>
      </c>
      <c r="AF36" t="s">
        <v>437</v>
      </c>
      <c r="AG36" s="186">
        <f t="shared" si="5"/>
        <v>2.6548672566371723E-2</v>
      </c>
      <c r="AH36" s="186">
        <f t="shared" si="6"/>
        <v>2.6548672566371723E-2</v>
      </c>
      <c r="AI36" s="186">
        <f t="shared" si="7"/>
        <v>2.9411764705882248E-2</v>
      </c>
      <c r="AJ36" s="186">
        <f t="shared" si="8"/>
        <v>2.6548672566371723E-2</v>
      </c>
      <c r="AK36" s="186">
        <f t="shared" si="9"/>
        <v>2.6548672566371723E-2</v>
      </c>
      <c r="AL36" s="186">
        <f t="shared" si="10"/>
        <v>2.6548672566371723E-2</v>
      </c>
      <c r="AM36" s="186">
        <f t="shared" si="11"/>
        <v>2.6548672566371723E-2</v>
      </c>
      <c r="AN36" s="186">
        <f t="shared" si="12"/>
        <v>2.6548672566371723E-2</v>
      </c>
      <c r="AO36" s="186">
        <f t="shared" si="13"/>
        <v>2.6548672566371723E-2</v>
      </c>
      <c r="AP36" s="186">
        <f t="shared" si="14"/>
        <v>3.0612244897959107E-2</v>
      </c>
      <c r="AQ36" s="186">
        <f t="shared" si="15"/>
        <v>2.7368421052631486E-2</v>
      </c>
      <c r="AR36" s="186">
        <f t="shared" si="16"/>
        <v>2.6548672566371723E-2</v>
      </c>
      <c r="AV36" s="139">
        <v>43437</v>
      </c>
      <c r="AW36" s="139">
        <v>43830</v>
      </c>
      <c r="AY36" s="146">
        <v>110</v>
      </c>
      <c r="AZ36" s="146">
        <v>110</v>
      </c>
      <c r="BA36" s="146">
        <v>132</v>
      </c>
      <c r="BB36" s="146">
        <v>110</v>
      </c>
      <c r="BC36" s="146">
        <v>110</v>
      </c>
      <c r="BD36" s="146">
        <v>110</v>
      </c>
      <c r="BE36" s="146">
        <v>110</v>
      </c>
      <c r="BF36" s="146">
        <v>110</v>
      </c>
      <c r="BG36" s="146">
        <v>110</v>
      </c>
      <c r="BH36" s="146">
        <v>96</v>
      </c>
      <c r="BI36" s="146">
        <v>462</v>
      </c>
      <c r="BJ36" s="146">
        <v>110</v>
      </c>
      <c r="BK36" s="146">
        <v>2959</v>
      </c>
    </row>
    <row r="37" spans="1:102" x14ac:dyDescent="0.25">
      <c r="A37" s="26" t="s">
        <v>248</v>
      </c>
      <c r="B37" s="14" t="s">
        <v>249</v>
      </c>
      <c r="C37" s="7" t="s">
        <v>250</v>
      </c>
      <c r="D37" s="7" t="s">
        <v>250</v>
      </c>
      <c r="E37" s="7"/>
      <c r="F37" s="163">
        <f>+VLOOKUP($D37,'Pricing Conditions M1 SCBA'!C:F,4,FALSE)</f>
        <v>290</v>
      </c>
      <c r="G37" t="s">
        <v>435</v>
      </c>
      <c r="H37">
        <v>1</v>
      </c>
      <c r="I37" t="s">
        <v>460</v>
      </c>
      <c r="J37" s="164" t="s">
        <v>535</v>
      </c>
      <c r="K37" s="164" t="s">
        <v>524</v>
      </c>
      <c r="L37"/>
      <c r="M37" s="145">
        <f t="shared" si="1"/>
        <v>290</v>
      </c>
      <c r="N37" s="146">
        <f t="shared" si="0"/>
        <v>290</v>
      </c>
      <c r="O37" s="145">
        <f t="shared" si="2"/>
        <v>347</v>
      </c>
      <c r="P37" s="146">
        <v>290</v>
      </c>
      <c r="Q37" s="146">
        <v>290</v>
      </c>
      <c r="R37" s="146">
        <v>290</v>
      </c>
      <c r="S37" s="146">
        <v>290</v>
      </c>
      <c r="T37" s="146">
        <v>290</v>
      </c>
      <c r="U37" s="146">
        <v>290</v>
      </c>
      <c r="V37" s="145">
        <f t="shared" si="3"/>
        <v>252</v>
      </c>
      <c r="W37" s="145">
        <f t="shared" si="4"/>
        <v>1216</v>
      </c>
      <c r="X37" s="146">
        <v>290</v>
      </c>
      <c r="Y37" s="184">
        <v>2.7E-2</v>
      </c>
      <c r="Z37" s="141">
        <f>+VLOOKUP($D37,'Pricing Conditions M1 SCBA'!C:I,7,FALSE)</f>
        <v>282</v>
      </c>
      <c r="AA37" s="141">
        <v>338</v>
      </c>
      <c r="AB37" s="141">
        <v>245</v>
      </c>
      <c r="AC37" s="141">
        <v>1184</v>
      </c>
      <c r="AD37" t="s">
        <v>435</v>
      </c>
      <c r="AE37">
        <v>1</v>
      </c>
      <c r="AF37" t="s">
        <v>437</v>
      </c>
      <c r="AG37" s="186">
        <f t="shared" si="5"/>
        <v>2.8368794326241176E-2</v>
      </c>
      <c r="AH37" s="186">
        <f t="shared" si="6"/>
        <v>2.8368794326241176E-2</v>
      </c>
      <c r="AI37" s="186">
        <f t="shared" si="7"/>
        <v>2.6627218934911268E-2</v>
      </c>
      <c r="AJ37" s="186">
        <f t="shared" si="8"/>
        <v>2.8368794326241176E-2</v>
      </c>
      <c r="AK37" s="186">
        <f t="shared" si="9"/>
        <v>2.8368794326241176E-2</v>
      </c>
      <c r="AL37" s="186">
        <f t="shared" si="10"/>
        <v>2.8368794326241176E-2</v>
      </c>
      <c r="AM37" s="186">
        <f t="shared" si="11"/>
        <v>2.8368794326241176E-2</v>
      </c>
      <c r="AN37" s="186">
        <f t="shared" si="12"/>
        <v>2.8368794326241176E-2</v>
      </c>
      <c r="AO37" s="186">
        <f t="shared" si="13"/>
        <v>2.8368794326241176E-2</v>
      </c>
      <c r="AP37" s="186">
        <f t="shared" si="14"/>
        <v>2.857142857142847E-2</v>
      </c>
      <c r="AQ37" s="186">
        <f t="shared" si="15"/>
        <v>2.7027027027026973E-2</v>
      </c>
      <c r="AR37" s="186">
        <f t="shared" si="16"/>
        <v>2.8368794326241176E-2</v>
      </c>
      <c r="AV37" s="139">
        <v>43437</v>
      </c>
      <c r="AW37" s="139">
        <v>43830</v>
      </c>
      <c r="AY37" s="146">
        <v>275</v>
      </c>
      <c r="AZ37" s="146">
        <v>275</v>
      </c>
      <c r="BA37" s="146">
        <v>330</v>
      </c>
      <c r="BB37" s="146">
        <v>275</v>
      </c>
      <c r="BC37" s="146">
        <v>275</v>
      </c>
      <c r="BD37" s="146">
        <v>275</v>
      </c>
      <c r="BE37" s="146">
        <v>275</v>
      </c>
      <c r="BF37" s="146">
        <v>275</v>
      </c>
      <c r="BG37" s="146">
        <v>275</v>
      </c>
      <c r="BH37" s="146">
        <v>239</v>
      </c>
      <c r="BI37" s="146">
        <v>1155</v>
      </c>
      <c r="BJ37" s="146">
        <v>275</v>
      </c>
      <c r="BK37" s="146">
        <v>7398</v>
      </c>
    </row>
    <row r="38" spans="1:102" x14ac:dyDescent="0.25">
      <c r="A38" s="26" t="s">
        <v>252</v>
      </c>
      <c r="B38" s="14" t="s">
        <v>253</v>
      </c>
      <c r="C38" s="7" t="s">
        <v>254</v>
      </c>
      <c r="D38" s="7" t="s">
        <v>254</v>
      </c>
      <c r="E38" s="7"/>
      <c r="F38" s="163">
        <f>+VLOOKUP($D38,'Pricing Conditions M1 SCBA'!C:F,4,FALSE)</f>
        <v>162</v>
      </c>
      <c r="G38" t="s">
        <v>435</v>
      </c>
      <c r="H38">
        <v>1</v>
      </c>
      <c r="I38" t="s">
        <v>460</v>
      </c>
      <c r="J38" s="164" t="s">
        <v>535</v>
      </c>
      <c r="K38" s="164" t="s">
        <v>524</v>
      </c>
      <c r="L38"/>
      <c r="M38" s="145">
        <f t="shared" si="1"/>
        <v>162</v>
      </c>
      <c r="N38" s="146">
        <f t="shared" si="0"/>
        <v>162</v>
      </c>
      <c r="O38" s="145">
        <f t="shared" si="2"/>
        <v>195</v>
      </c>
      <c r="P38" s="146">
        <v>162</v>
      </c>
      <c r="Q38" s="146">
        <v>162</v>
      </c>
      <c r="R38" s="146">
        <v>162</v>
      </c>
      <c r="S38" s="146">
        <v>162</v>
      </c>
      <c r="T38" s="146">
        <v>162</v>
      </c>
      <c r="U38" s="146">
        <v>162</v>
      </c>
      <c r="V38" s="145">
        <f t="shared" si="3"/>
        <v>141</v>
      </c>
      <c r="W38" s="145">
        <f t="shared" si="4"/>
        <v>682</v>
      </c>
      <c r="X38" s="146">
        <v>162</v>
      </c>
      <c r="Y38" s="184">
        <v>2.7E-2</v>
      </c>
      <c r="Z38" s="141">
        <f>+VLOOKUP($D38,'Pricing Conditions M1 SCBA'!C:I,7,FALSE)</f>
        <v>158</v>
      </c>
      <c r="AA38" s="141">
        <v>190</v>
      </c>
      <c r="AB38" s="141">
        <v>137</v>
      </c>
      <c r="AC38" s="141">
        <v>664</v>
      </c>
      <c r="AD38" t="s">
        <v>435</v>
      </c>
      <c r="AE38">
        <v>1</v>
      </c>
      <c r="AF38" t="s">
        <v>437</v>
      </c>
      <c r="AG38" s="186">
        <f t="shared" si="5"/>
        <v>2.5316455696202445E-2</v>
      </c>
      <c r="AH38" s="186">
        <f t="shared" si="6"/>
        <v>2.5316455696202445E-2</v>
      </c>
      <c r="AI38" s="186">
        <f t="shared" si="7"/>
        <v>2.6315789473684292E-2</v>
      </c>
      <c r="AJ38" s="186">
        <f t="shared" si="8"/>
        <v>2.5316455696202445E-2</v>
      </c>
      <c r="AK38" s="186">
        <f t="shared" si="9"/>
        <v>2.5316455696202445E-2</v>
      </c>
      <c r="AL38" s="186">
        <f t="shared" si="10"/>
        <v>2.5316455696202445E-2</v>
      </c>
      <c r="AM38" s="186">
        <f t="shared" si="11"/>
        <v>2.5316455696202445E-2</v>
      </c>
      <c r="AN38" s="186">
        <f t="shared" si="12"/>
        <v>2.5316455696202445E-2</v>
      </c>
      <c r="AO38" s="186">
        <f t="shared" si="13"/>
        <v>2.5316455696202445E-2</v>
      </c>
      <c r="AP38" s="186">
        <f t="shared" si="14"/>
        <v>2.9197080291970767E-2</v>
      </c>
      <c r="AQ38" s="186">
        <f t="shared" si="15"/>
        <v>2.7108433734939652E-2</v>
      </c>
      <c r="AR38" s="186">
        <f t="shared" si="16"/>
        <v>2.5316455696202445E-2</v>
      </c>
      <c r="AV38" s="139">
        <v>43437</v>
      </c>
      <c r="AW38" s="139">
        <v>43830</v>
      </c>
      <c r="AY38" s="146">
        <v>154</v>
      </c>
      <c r="AZ38" s="146">
        <v>154</v>
      </c>
      <c r="BA38" s="146">
        <v>185</v>
      </c>
      <c r="BB38" s="146">
        <v>154</v>
      </c>
      <c r="BC38" s="146">
        <v>154</v>
      </c>
      <c r="BD38" s="146">
        <v>154</v>
      </c>
      <c r="BE38" s="146">
        <v>154</v>
      </c>
      <c r="BF38" s="146">
        <v>154</v>
      </c>
      <c r="BG38" s="146">
        <v>154</v>
      </c>
      <c r="BH38" s="146">
        <v>134</v>
      </c>
      <c r="BI38" s="146">
        <v>647</v>
      </c>
      <c r="BJ38" s="146">
        <v>154</v>
      </c>
      <c r="BK38" s="146">
        <v>4143</v>
      </c>
    </row>
    <row r="39" spans="1:102" x14ac:dyDescent="0.25">
      <c r="A39" s="26" t="s">
        <v>255</v>
      </c>
      <c r="B39" s="14" t="s">
        <v>256</v>
      </c>
      <c r="C39" s="7" t="s">
        <v>257</v>
      </c>
      <c r="D39" s="7" t="s">
        <v>257</v>
      </c>
      <c r="E39" s="7"/>
      <c r="F39" s="163">
        <f>+VLOOKUP($D39,'Pricing Conditions M1 SCBA'!C:F,4,FALSE)</f>
        <v>174</v>
      </c>
      <c r="G39" t="s">
        <v>435</v>
      </c>
      <c r="H39">
        <v>1</v>
      </c>
      <c r="I39" t="s">
        <v>460</v>
      </c>
      <c r="J39" s="164" t="s">
        <v>535</v>
      </c>
      <c r="K39" s="164" t="s">
        <v>524</v>
      </c>
      <c r="L39"/>
      <c r="M39" s="145">
        <f t="shared" si="1"/>
        <v>174</v>
      </c>
      <c r="N39" s="146">
        <f t="shared" si="0"/>
        <v>174</v>
      </c>
      <c r="O39" s="145">
        <f t="shared" si="2"/>
        <v>208</v>
      </c>
      <c r="P39" s="146">
        <v>174</v>
      </c>
      <c r="Q39" s="146">
        <v>174</v>
      </c>
      <c r="R39" s="146">
        <v>174</v>
      </c>
      <c r="S39" s="146">
        <v>174</v>
      </c>
      <c r="T39" s="146">
        <v>174</v>
      </c>
      <c r="U39" s="146">
        <v>174</v>
      </c>
      <c r="V39" s="145">
        <f t="shared" si="3"/>
        <v>151</v>
      </c>
      <c r="W39" s="145">
        <f t="shared" si="4"/>
        <v>729</v>
      </c>
      <c r="X39" s="146">
        <v>174</v>
      </c>
      <c r="Y39" s="184">
        <v>2.7E-2</v>
      </c>
      <c r="Z39" s="141">
        <f>+VLOOKUP($D39,'Pricing Conditions M1 SCBA'!C:I,7,FALSE)</f>
        <v>169</v>
      </c>
      <c r="AA39" s="141">
        <v>203</v>
      </c>
      <c r="AB39" s="141">
        <v>147</v>
      </c>
      <c r="AC39" s="141">
        <v>710</v>
      </c>
      <c r="AD39" t="s">
        <v>435</v>
      </c>
      <c r="AE39">
        <v>1</v>
      </c>
      <c r="AF39" t="s">
        <v>437</v>
      </c>
      <c r="AG39" s="186">
        <f t="shared" si="5"/>
        <v>2.9585798816567976E-2</v>
      </c>
      <c r="AH39" s="186">
        <f t="shared" si="6"/>
        <v>2.9585798816567976E-2</v>
      </c>
      <c r="AI39" s="186">
        <f t="shared" si="7"/>
        <v>2.4630541871921263E-2</v>
      </c>
      <c r="AJ39" s="186">
        <f t="shared" si="8"/>
        <v>2.9585798816567976E-2</v>
      </c>
      <c r="AK39" s="186">
        <f t="shared" si="9"/>
        <v>2.9585798816567976E-2</v>
      </c>
      <c r="AL39" s="186">
        <f t="shared" si="10"/>
        <v>2.9585798816567976E-2</v>
      </c>
      <c r="AM39" s="186">
        <f t="shared" si="11"/>
        <v>2.9585798816567976E-2</v>
      </c>
      <c r="AN39" s="186">
        <f t="shared" si="12"/>
        <v>2.9585798816567976E-2</v>
      </c>
      <c r="AO39" s="186">
        <f t="shared" si="13"/>
        <v>2.9585798816567976E-2</v>
      </c>
      <c r="AP39" s="186">
        <f t="shared" si="14"/>
        <v>2.7210884353741527E-2</v>
      </c>
      <c r="AQ39" s="186">
        <f t="shared" si="15"/>
        <v>2.6760563380281654E-2</v>
      </c>
      <c r="AR39" s="186">
        <f t="shared" si="16"/>
        <v>2.9585798816567976E-2</v>
      </c>
      <c r="AV39" s="139">
        <v>43437</v>
      </c>
      <c r="AW39" s="139">
        <v>43830</v>
      </c>
      <c r="AY39" s="146">
        <v>165</v>
      </c>
      <c r="AZ39" s="146">
        <v>165</v>
      </c>
      <c r="BA39" s="146">
        <v>198</v>
      </c>
      <c r="BB39" s="146">
        <v>165</v>
      </c>
      <c r="BC39" s="146">
        <v>165</v>
      </c>
      <c r="BD39" s="146">
        <v>165</v>
      </c>
      <c r="BE39" s="146">
        <v>165</v>
      </c>
      <c r="BF39" s="146">
        <v>165</v>
      </c>
      <c r="BG39" s="146">
        <v>165</v>
      </c>
      <c r="BH39" s="146">
        <v>144</v>
      </c>
      <c r="BI39" s="146">
        <v>693</v>
      </c>
      <c r="BJ39" s="146">
        <v>165</v>
      </c>
      <c r="BK39" s="146">
        <v>4439</v>
      </c>
    </row>
    <row r="40" spans="1:102" x14ac:dyDescent="0.25">
      <c r="A40" s="27" t="s">
        <v>261</v>
      </c>
      <c r="B40" s="14" t="s">
        <v>262</v>
      </c>
      <c r="C40" s="6" t="s">
        <v>263</v>
      </c>
      <c r="D40" s="6" t="s">
        <v>263</v>
      </c>
      <c r="E40" s="7"/>
      <c r="F40" s="163">
        <f>+VLOOKUP($D40,'Pricing Conditions M1 SCBA'!C:F,4,FALSE)</f>
        <v>443</v>
      </c>
      <c r="G40" t="s">
        <v>435</v>
      </c>
      <c r="H40">
        <v>1</v>
      </c>
      <c r="I40" t="s">
        <v>460</v>
      </c>
      <c r="J40" s="164" t="s">
        <v>535</v>
      </c>
      <c r="K40" s="164" t="s">
        <v>524</v>
      </c>
      <c r="L40"/>
      <c r="M40" s="145">
        <f t="shared" si="1"/>
        <v>443</v>
      </c>
      <c r="N40" s="146">
        <f t="shared" si="0"/>
        <v>443</v>
      </c>
      <c r="O40" s="145">
        <f t="shared" si="2"/>
        <v>531</v>
      </c>
      <c r="P40" s="146">
        <v>443</v>
      </c>
      <c r="Q40" s="146">
        <v>443</v>
      </c>
      <c r="R40" s="146">
        <v>443</v>
      </c>
      <c r="S40" s="146">
        <v>443</v>
      </c>
      <c r="T40" s="146">
        <v>443</v>
      </c>
      <c r="U40" s="146">
        <v>443</v>
      </c>
      <c r="V40" s="145">
        <f t="shared" si="3"/>
        <v>385</v>
      </c>
      <c r="W40" s="145">
        <f t="shared" si="4"/>
        <v>1859</v>
      </c>
      <c r="X40" s="146">
        <v>443</v>
      </c>
      <c r="Y40" s="184">
        <v>2.7E-2</v>
      </c>
      <c r="Z40" s="141">
        <f>+VLOOKUP($D40,'Pricing Conditions M1 SCBA'!C:I,7,FALSE)</f>
        <v>431</v>
      </c>
      <c r="AA40" s="141">
        <v>517</v>
      </c>
      <c r="AB40" s="141">
        <v>375</v>
      </c>
      <c r="AC40" s="141">
        <v>1810</v>
      </c>
      <c r="AD40" t="s">
        <v>435</v>
      </c>
      <c r="AE40">
        <v>1</v>
      </c>
      <c r="AF40" t="s">
        <v>437</v>
      </c>
      <c r="AG40" s="186">
        <f t="shared" si="5"/>
        <v>2.7842227378190199E-2</v>
      </c>
      <c r="AH40" s="186">
        <f t="shared" si="6"/>
        <v>2.7842227378190199E-2</v>
      </c>
      <c r="AI40" s="186">
        <f t="shared" si="7"/>
        <v>2.7079303675048294E-2</v>
      </c>
      <c r="AJ40" s="186">
        <f t="shared" si="8"/>
        <v>2.7842227378190199E-2</v>
      </c>
      <c r="AK40" s="186">
        <f t="shared" si="9"/>
        <v>2.7842227378190199E-2</v>
      </c>
      <c r="AL40" s="186">
        <f t="shared" si="10"/>
        <v>2.7842227378190199E-2</v>
      </c>
      <c r="AM40" s="186">
        <f t="shared" si="11"/>
        <v>2.7842227378190199E-2</v>
      </c>
      <c r="AN40" s="186">
        <f t="shared" si="12"/>
        <v>2.7842227378190199E-2</v>
      </c>
      <c r="AO40" s="186">
        <f t="shared" si="13"/>
        <v>2.7842227378190199E-2</v>
      </c>
      <c r="AP40" s="186">
        <f t="shared" si="14"/>
        <v>2.6666666666666616E-2</v>
      </c>
      <c r="AQ40" s="186">
        <f t="shared" si="15"/>
        <v>2.7071823204419809E-2</v>
      </c>
      <c r="AR40" s="186">
        <f t="shared" si="16"/>
        <v>2.7842227378190199E-2</v>
      </c>
      <c r="AV40" s="139">
        <v>43437</v>
      </c>
      <c r="AW40" s="139">
        <v>43830</v>
      </c>
      <c r="AY40" s="146">
        <v>420</v>
      </c>
      <c r="AZ40" s="146">
        <v>420</v>
      </c>
      <c r="BA40" s="146">
        <v>504</v>
      </c>
      <c r="BB40" s="146">
        <v>420</v>
      </c>
      <c r="BC40" s="146">
        <v>420</v>
      </c>
      <c r="BD40" s="146">
        <v>420</v>
      </c>
      <c r="BE40" s="146">
        <v>420</v>
      </c>
      <c r="BF40" s="146">
        <v>420</v>
      </c>
      <c r="BG40" s="146">
        <v>420</v>
      </c>
      <c r="BH40" s="146">
        <v>365</v>
      </c>
      <c r="BI40" s="146">
        <v>1764</v>
      </c>
      <c r="BJ40" s="146">
        <v>420</v>
      </c>
      <c r="BK40" s="146">
        <v>11298</v>
      </c>
    </row>
    <row r="41" spans="1:102" x14ac:dyDescent="0.25">
      <c r="A41" s="27" t="s">
        <v>265</v>
      </c>
      <c r="B41" s="14" t="s">
        <v>266</v>
      </c>
      <c r="C41" s="6" t="s">
        <v>267</v>
      </c>
      <c r="D41" s="6" t="s">
        <v>267</v>
      </c>
      <c r="E41" s="7"/>
      <c r="F41" s="163">
        <f>+VLOOKUP($D41,'Pricing Conditions M1 SCBA'!C:F,4,FALSE)</f>
        <v>443</v>
      </c>
      <c r="G41" t="s">
        <v>435</v>
      </c>
      <c r="H41">
        <v>1</v>
      </c>
      <c r="I41" t="s">
        <v>460</v>
      </c>
      <c r="J41" s="164" t="s">
        <v>535</v>
      </c>
      <c r="K41" s="164" t="s">
        <v>524</v>
      </c>
      <c r="L41"/>
      <c r="M41" s="145">
        <f t="shared" si="1"/>
        <v>443</v>
      </c>
      <c r="N41" s="146">
        <f t="shared" si="0"/>
        <v>443</v>
      </c>
      <c r="O41" s="145">
        <f t="shared" si="2"/>
        <v>531</v>
      </c>
      <c r="P41" s="146">
        <v>443</v>
      </c>
      <c r="Q41" s="146">
        <v>443</v>
      </c>
      <c r="R41" s="146">
        <v>443</v>
      </c>
      <c r="S41" s="146">
        <v>443</v>
      </c>
      <c r="T41" s="146">
        <v>443</v>
      </c>
      <c r="U41" s="146">
        <v>443</v>
      </c>
      <c r="V41" s="145">
        <f t="shared" si="3"/>
        <v>385</v>
      </c>
      <c r="W41" s="145">
        <f t="shared" si="4"/>
        <v>1859</v>
      </c>
      <c r="X41" s="146">
        <v>443</v>
      </c>
      <c r="Y41" s="184">
        <v>2.7E-2</v>
      </c>
      <c r="Z41" s="141">
        <f>+VLOOKUP($D41,'Pricing Conditions M1 SCBA'!C:I,7,FALSE)</f>
        <v>431</v>
      </c>
      <c r="AA41" s="141">
        <v>517</v>
      </c>
      <c r="AB41" s="141">
        <v>375</v>
      </c>
      <c r="AC41" s="141">
        <v>1810</v>
      </c>
      <c r="AD41" t="s">
        <v>435</v>
      </c>
      <c r="AE41">
        <v>1</v>
      </c>
      <c r="AF41" t="s">
        <v>437</v>
      </c>
      <c r="AG41" s="186">
        <f t="shared" si="5"/>
        <v>2.7842227378190199E-2</v>
      </c>
      <c r="AH41" s="186">
        <f t="shared" si="6"/>
        <v>2.7842227378190199E-2</v>
      </c>
      <c r="AI41" s="186">
        <f t="shared" si="7"/>
        <v>2.7079303675048294E-2</v>
      </c>
      <c r="AJ41" s="186">
        <f t="shared" si="8"/>
        <v>2.7842227378190199E-2</v>
      </c>
      <c r="AK41" s="186">
        <f t="shared" si="9"/>
        <v>2.7842227378190199E-2</v>
      </c>
      <c r="AL41" s="186">
        <f t="shared" si="10"/>
        <v>2.7842227378190199E-2</v>
      </c>
      <c r="AM41" s="186">
        <f t="shared" si="11"/>
        <v>2.7842227378190199E-2</v>
      </c>
      <c r="AN41" s="186">
        <f t="shared" si="12"/>
        <v>2.7842227378190199E-2</v>
      </c>
      <c r="AO41" s="186">
        <f t="shared" si="13"/>
        <v>2.7842227378190199E-2</v>
      </c>
      <c r="AP41" s="186">
        <f t="shared" si="14"/>
        <v>2.6666666666666616E-2</v>
      </c>
      <c r="AQ41" s="186">
        <f t="shared" si="15"/>
        <v>2.7071823204419809E-2</v>
      </c>
      <c r="AR41" s="186">
        <f t="shared" si="16"/>
        <v>2.7842227378190199E-2</v>
      </c>
      <c r="AV41" s="139">
        <v>43437</v>
      </c>
      <c r="AW41" s="139">
        <v>43830</v>
      </c>
      <c r="AY41" s="146">
        <v>420</v>
      </c>
      <c r="AZ41" s="146">
        <v>420</v>
      </c>
      <c r="BA41" s="146">
        <v>504</v>
      </c>
      <c r="BB41" s="146">
        <v>420</v>
      </c>
      <c r="BC41" s="146">
        <v>420</v>
      </c>
      <c r="BD41" s="146">
        <v>420</v>
      </c>
      <c r="BE41" s="146">
        <v>420</v>
      </c>
      <c r="BF41" s="146">
        <v>420</v>
      </c>
      <c r="BG41" s="146">
        <v>420</v>
      </c>
      <c r="BH41" s="146">
        <v>365</v>
      </c>
      <c r="BI41" s="146">
        <v>1764</v>
      </c>
      <c r="BJ41" s="146">
        <v>420</v>
      </c>
      <c r="BK41" s="146">
        <v>11298</v>
      </c>
    </row>
    <row r="42" spans="1:102" x14ac:dyDescent="0.25">
      <c r="A42" s="27" t="s">
        <v>269</v>
      </c>
      <c r="B42" s="14" t="s">
        <v>270</v>
      </c>
      <c r="C42" s="6" t="s">
        <v>271</v>
      </c>
      <c r="D42" s="6" t="s">
        <v>271</v>
      </c>
      <c r="E42" s="7"/>
      <c r="F42" s="163">
        <f>+VLOOKUP($D42,'Pricing Conditions M1 SCBA'!C:F,4,FALSE)</f>
        <v>250</v>
      </c>
      <c r="G42" t="s">
        <v>435</v>
      </c>
      <c r="H42">
        <v>1</v>
      </c>
      <c r="I42" t="s">
        <v>460</v>
      </c>
      <c r="J42" s="164" t="s">
        <v>535</v>
      </c>
      <c r="K42" s="164" t="s">
        <v>524</v>
      </c>
      <c r="L42"/>
      <c r="M42" s="145">
        <f t="shared" si="1"/>
        <v>250</v>
      </c>
      <c r="N42" s="146">
        <f t="shared" si="0"/>
        <v>250</v>
      </c>
      <c r="O42" s="145">
        <f t="shared" si="2"/>
        <v>300</v>
      </c>
      <c r="P42" s="146">
        <v>250</v>
      </c>
      <c r="Q42" s="146">
        <v>250</v>
      </c>
      <c r="R42" s="146">
        <v>250</v>
      </c>
      <c r="S42" s="146">
        <v>250</v>
      </c>
      <c r="T42" s="146">
        <v>250</v>
      </c>
      <c r="U42" s="146">
        <v>250</v>
      </c>
      <c r="V42" s="145">
        <f t="shared" si="3"/>
        <v>217</v>
      </c>
      <c r="W42" s="145">
        <f t="shared" si="4"/>
        <v>1049</v>
      </c>
      <c r="X42" s="146">
        <v>250</v>
      </c>
      <c r="Y42" s="184">
        <v>2.7E-2</v>
      </c>
      <c r="Z42" s="141">
        <f>+VLOOKUP($D42,'Pricing Conditions M1 SCBA'!C:I,7,FALSE)</f>
        <v>243</v>
      </c>
      <c r="AA42" s="141">
        <v>292</v>
      </c>
      <c r="AB42" s="141">
        <v>211</v>
      </c>
      <c r="AC42" s="141">
        <v>1021</v>
      </c>
      <c r="AD42" t="s">
        <v>435</v>
      </c>
      <c r="AE42">
        <v>1</v>
      </c>
      <c r="AF42" t="s">
        <v>437</v>
      </c>
      <c r="AG42" s="186">
        <f t="shared" si="5"/>
        <v>2.8806584362139898E-2</v>
      </c>
      <c r="AH42" s="186">
        <f t="shared" si="6"/>
        <v>2.8806584362139898E-2</v>
      </c>
      <c r="AI42" s="186">
        <f t="shared" si="7"/>
        <v>2.7397260273972712E-2</v>
      </c>
      <c r="AJ42" s="186">
        <f t="shared" si="8"/>
        <v>2.8806584362139898E-2</v>
      </c>
      <c r="AK42" s="186">
        <f t="shared" si="9"/>
        <v>2.8806584362139898E-2</v>
      </c>
      <c r="AL42" s="186">
        <f t="shared" si="10"/>
        <v>2.8806584362139898E-2</v>
      </c>
      <c r="AM42" s="186">
        <f t="shared" si="11"/>
        <v>2.8806584362139898E-2</v>
      </c>
      <c r="AN42" s="186">
        <f t="shared" si="12"/>
        <v>2.8806584362139898E-2</v>
      </c>
      <c r="AO42" s="186">
        <f t="shared" si="13"/>
        <v>2.8806584362139898E-2</v>
      </c>
      <c r="AP42" s="186">
        <f t="shared" si="14"/>
        <v>2.8436018957346043E-2</v>
      </c>
      <c r="AQ42" s="186">
        <f t="shared" si="15"/>
        <v>2.7424094025465307E-2</v>
      </c>
      <c r="AR42" s="186">
        <f t="shared" si="16"/>
        <v>2.8806584362139898E-2</v>
      </c>
      <c r="AV42" s="139">
        <v>43437</v>
      </c>
      <c r="AW42" s="139">
        <v>43830</v>
      </c>
      <c r="AY42" s="146">
        <v>237</v>
      </c>
      <c r="AZ42" s="146">
        <v>237</v>
      </c>
      <c r="BA42" s="146">
        <v>284</v>
      </c>
      <c r="BB42" s="146">
        <v>237</v>
      </c>
      <c r="BC42" s="146">
        <v>237</v>
      </c>
      <c r="BD42" s="146">
        <v>237</v>
      </c>
      <c r="BE42" s="146">
        <v>237</v>
      </c>
      <c r="BF42" s="146">
        <v>237</v>
      </c>
      <c r="BG42" s="146">
        <v>237</v>
      </c>
      <c r="BH42" s="146">
        <v>206</v>
      </c>
      <c r="BI42" s="146">
        <v>995</v>
      </c>
      <c r="BJ42" s="146">
        <v>237</v>
      </c>
      <c r="BK42" s="146">
        <v>6375</v>
      </c>
    </row>
    <row r="43" spans="1:102" x14ac:dyDescent="0.25">
      <c r="A43" s="27" t="s">
        <v>272</v>
      </c>
      <c r="B43" s="14" t="s">
        <v>273</v>
      </c>
      <c r="C43" s="6" t="s">
        <v>274</v>
      </c>
      <c r="D43" s="6" t="s">
        <v>274</v>
      </c>
      <c r="E43" s="7"/>
      <c r="F43" s="163">
        <f>+VLOOKUP($D43,'Pricing Conditions M1 SCBA'!C:F,4,FALSE)</f>
        <v>443</v>
      </c>
      <c r="G43" t="s">
        <v>435</v>
      </c>
      <c r="H43">
        <v>1</v>
      </c>
      <c r="I43" t="s">
        <v>460</v>
      </c>
      <c r="J43" s="164" t="s">
        <v>535</v>
      </c>
      <c r="K43" s="164" t="s">
        <v>524</v>
      </c>
      <c r="L43"/>
      <c r="M43" s="145">
        <f t="shared" si="1"/>
        <v>443</v>
      </c>
      <c r="N43" s="146">
        <f t="shared" si="0"/>
        <v>443</v>
      </c>
      <c r="O43" s="145">
        <f t="shared" si="2"/>
        <v>531</v>
      </c>
      <c r="P43" s="146">
        <v>443</v>
      </c>
      <c r="Q43" s="146">
        <v>443</v>
      </c>
      <c r="R43" s="146">
        <v>443</v>
      </c>
      <c r="S43" s="146">
        <v>443</v>
      </c>
      <c r="T43" s="146">
        <v>443</v>
      </c>
      <c r="U43" s="146">
        <v>443</v>
      </c>
      <c r="V43" s="145">
        <f t="shared" si="3"/>
        <v>385</v>
      </c>
      <c r="W43" s="145">
        <f t="shared" si="4"/>
        <v>1859</v>
      </c>
      <c r="X43" s="146">
        <v>443</v>
      </c>
      <c r="Y43" s="184">
        <v>2.7E-2</v>
      </c>
      <c r="Z43" s="141">
        <f>+VLOOKUP($D43,'Pricing Conditions M1 SCBA'!C:I,7,FALSE)</f>
        <v>431</v>
      </c>
      <c r="AA43" s="141">
        <v>517</v>
      </c>
      <c r="AB43" s="141">
        <v>375</v>
      </c>
      <c r="AC43" s="141">
        <v>1810</v>
      </c>
      <c r="AD43" t="s">
        <v>435</v>
      </c>
      <c r="AE43">
        <v>1</v>
      </c>
      <c r="AF43" t="s">
        <v>437</v>
      </c>
      <c r="AG43" s="186">
        <f t="shared" si="5"/>
        <v>2.7842227378190199E-2</v>
      </c>
      <c r="AH43" s="186">
        <f t="shared" si="6"/>
        <v>2.7842227378190199E-2</v>
      </c>
      <c r="AI43" s="186">
        <f t="shared" si="7"/>
        <v>2.7079303675048294E-2</v>
      </c>
      <c r="AJ43" s="186">
        <f t="shared" si="8"/>
        <v>2.7842227378190199E-2</v>
      </c>
      <c r="AK43" s="186">
        <f t="shared" si="9"/>
        <v>2.7842227378190199E-2</v>
      </c>
      <c r="AL43" s="186">
        <f t="shared" si="10"/>
        <v>2.7842227378190199E-2</v>
      </c>
      <c r="AM43" s="186">
        <f t="shared" si="11"/>
        <v>2.7842227378190199E-2</v>
      </c>
      <c r="AN43" s="186">
        <f t="shared" si="12"/>
        <v>2.7842227378190199E-2</v>
      </c>
      <c r="AO43" s="186">
        <f t="shared" si="13"/>
        <v>2.7842227378190199E-2</v>
      </c>
      <c r="AP43" s="186">
        <f t="shared" si="14"/>
        <v>2.6666666666666616E-2</v>
      </c>
      <c r="AQ43" s="186">
        <f t="shared" si="15"/>
        <v>2.7071823204419809E-2</v>
      </c>
      <c r="AR43" s="186">
        <f t="shared" si="16"/>
        <v>2.7842227378190199E-2</v>
      </c>
      <c r="AV43" s="139">
        <v>43437</v>
      </c>
      <c r="AW43" s="139">
        <v>43830</v>
      </c>
      <c r="AY43" s="146">
        <v>420</v>
      </c>
      <c r="AZ43" s="146">
        <v>420</v>
      </c>
      <c r="BA43" s="146">
        <v>504</v>
      </c>
      <c r="BB43" s="146">
        <v>420</v>
      </c>
      <c r="BC43" s="146">
        <v>420</v>
      </c>
      <c r="BD43" s="146">
        <v>420</v>
      </c>
      <c r="BE43" s="146">
        <v>420</v>
      </c>
      <c r="BF43" s="146">
        <v>420</v>
      </c>
      <c r="BG43" s="146">
        <v>420</v>
      </c>
      <c r="BH43" s="146">
        <v>365</v>
      </c>
      <c r="BI43" s="146">
        <v>1764</v>
      </c>
      <c r="BJ43" s="146">
        <v>420</v>
      </c>
      <c r="BK43" s="146">
        <v>11298</v>
      </c>
    </row>
    <row r="44" spans="1:102" x14ac:dyDescent="0.25">
      <c r="A44" s="27" t="s">
        <v>276</v>
      </c>
      <c r="B44" s="14" t="s">
        <v>277</v>
      </c>
      <c r="C44" s="6" t="s">
        <v>278</v>
      </c>
      <c r="D44" s="6" t="s">
        <v>278</v>
      </c>
      <c r="E44" s="7"/>
      <c r="F44" s="163">
        <f>+VLOOKUP($D44,'Pricing Conditions M1 SCBA'!C:F,4,FALSE)</f>
        <v>443</v>
      </c>
      <c r="G44" t="s">
        <v>435</v>
      </c>
      <c r="H44">
        <v>1</v>
      </c>
      <c r="I44" t="s">
        <v>460</v>
      </c>
      <c r="J44" s="164" t="s">
        <v>535</v>
      </c>
      <c r="K44" s="164" t="s">
        <v>524</v>
      </c>
      <c r="L44"/>
      <c r="M44" s="145">
        <f t="shared" si="1"/>
        <v>443</v>
      </c>
      <c r="N44" s="146">
        <f t="shared" si="0"/>
        <v>443</v>
      </c>
      <c r="O44" s="145">
        <f t="shared" si="2"/>
        <v>531</v>
      </c>
      <c r="P44" s="146">
        <v>443</v>
      </c>
      <c r="Q44" s="146">
        <v>443</v>
      </c>
      <c r="R44" s="146">
        <v>443</v>
      </c>
      <c r="S44" s="146">
        <v>443</v>
      </c>
      <c r="T44" s="146">
        <v>443</v>
      </c>
      <c r="U44" s="146">
        <v>443</v>
      </c>
      <c r="V44" s="145">
        <f t="shared" si="3"/>
        <v>385</v>
      </c>
      <c r="W44" s="145">
        <f t="shared" si="4"/>
        <v>1859</v>
      </c>
      <c r="X44" s="146">
        <v>443</v>
      </c>
      <c r="Y44" s="184">
        <v>2.7E-2</v>
      </c>
      <c r="Z44" s="141">
        <f>+VLOOKUP($D44,'Pricing Conditions M1 SCBA'!C:I,7,FALSE)</f>
        <v>431</v>
      </c>
      <c r="AA44" s="141">
        <v>517</v>
      </c>
      <c r="AB44" s="141">
        <v>375</v>
      </c>
      <c r="AC44" s="141">
        <v>1810</v>
      </c>
      <c r="AD44" t="s">
        <v>435</v>
      </c>
      <c r="AE44">
        <v>1</v>
      </c>
      <c r="AF44" t="s">
        <v>437</v>
      </c>
      <c r="AG44" s="186">
        <f t="shared" si="5"/>
        <v>2.7842227378190199E-2</v>
      </c>
      <c r="AH44" s="186">
        <f t="shared" si="6"/>
        <v>2.7842227378190199E-2</v>
      </c>
      <c r="AI44" s="186">
        <f t="shared" si="7"/>
        <v>2.7079303675048294E-2</v>
      </c>
      <c r="AJ44" s="186">
        <f t="shared" si="8"/>
        <v>2.7842227378190199E-2</v>
      </c>
      <c r="AK44" s="186">
        <f t="shared" si="9"/>
        <v>2.7842227378190199E-2</v>
      </c>
      <c r="AL44" s="186">
        <f t="shared" si="10"/>
        <v>2.7842227378190199E-2</v>
      </c>
      <c r="AM44" s="186">
        <f t="shared" si="11"/>
        <v>2.7842227378190199E-2</v>
      </c>
      <c r="AN44" s="186">
        <f t="shared" si="12"/>
        <v>2.7842227378190199E-2</v>
      </c>
      <c r="AO44" s="186">
        <f t="shared" si="13"/>
        <v>2.7842227378190199E-2</v>
      </c>
      <c r="AP44" s="186">
        <f t="shared" si="14"/>
        <v>2.6666666666666616E-2</v>
      </c>
      <c r="AQ44" s="186">
        <f t="shared" si="15"/>
        <v>2.7071823204419809E-2</v>
      </c>
      <c r="AR44" s="186">
        <f t="shared" si="16"/>
        <v>2.7842227378190199E-2</v>
      </c>
      <c r="AV44" s="139">
        <v>43437</v>
      </c>
      <c r="AW44" s="139">
        <v>43830</v>
      </c>
      <c r="AY44" s="146">
        <v>420</v>
      </c>
      <c r="AZ44" s="146">
        <v>420</v>
      </c>
      <c r="BA44" s="146">
        <v>504</v>
      </c>
      <c r="BB44" s="146">
        <v>420</v>
      </c>
      <c r="BC44" s="146">
        <v>420</v>
      </c>
      <c r="BD44" s="146">
        <v>420</v>
      </c>
      <c r="BE44" s="146">
        <v>420</v>
      </c>
      <c r="BF44" s="146">
        <v>420</v>
      </c>
      <c r="BG44" s="146">
        <v>420</v>
      </c>
      <c r="BH44" s="146">
        <v>365</v>
      </c>
      <c r="BI44" s="146">
        <v>1764</v>
      </c>
      <c r="BJ44" s="146">
        <v>420</v>
      </c>
      <c r="BK44" s="146">
        <v>11298</v>
      </c>
    </row>
    <row r="45" spans="1:102" x14ac:dyDescent="0.25">
      <c r="A45" s="27" t="s">
        <v>279</v>
      </c>
      <c r="B45" s="14" t="s">
        <v>280</v>
      </c>
      <c r="C45" s="6" t="s">
        <v>281</v>
      </c>
      <c r="D45" s="6" t="s">
        <v>281</v>
      </c>
      <c r="E45" s="7"/>
      <c r="F45" s="163">
        <f>+VLOOKUP($D45,'Pricing Conditions M1 SCBA'!C:F,4,FALSE)</f>
        <v>250</v>
      </c>
      <c r="G45" t="s">
        <v>435</v>
      </c>
      <c r="H45">
        <v>1</v>
      </c>
      <c r="I45" t="s">
        <v>460</v>
      </c>
      <c r="J45" s="164" t="s">
        <v>535</v>
      </c>
      <c r="K45" s="164" t="s">
        <v>524</v>
      </c>
      <c r="L45"/>
      <c r="M45" s="145">
        <f t="shared" si="1"/>
        <v>250</v>
      </c>
      <c r="N45" s="146">
        <f t="shared" si="0"/>
        <v>250</v>
      </c>
      <c r="O45" s="145">
        <f t="shared" si="2"/>
        <v>300</v>
      </c>
      <c r="P45" s="146">
        <v>250</v>
      </c>
      <c r="Q45" s="146">
        <v>250</v>
      </c>
      <c r="R45" s="146">
        <v>250</v>
      </c>
      <c r="S45" s="146">
        <v>250</v>
      </c>
      <c r="T45" s="146">
        <v>250</v>
      </c>
      <c r="U45" s="146">
        <v>250</v>
      </c>
      <c r="V45" s="145">
        <f t="shared" si="3"/>
        <v>217</v>
      </c>
      <c r="W45" s="145">
        <f t="shared" si="4"/>
        <v>1049</v>
      </c>
      <c r="X45" s="146">
        <v>250</v>
      </c>
      <c r="Y45" s="184">
        <v>2.7E-2</v>
      </c>
      <c r="Z45" s="141">
        <f>+VLOOKUP($D45,'Pricing Conditions M1 SCBA'!C:I,7,FALSE)</f>
        <v>243</v>
      </c>
      <c r="AA45" s="141">
        <v>292</v>
      </c>
      <c r="AB45" s="141">
        <v>211</v>
      </c>
      <c r="AC45" s="141">
        <v>1021</v>
      </c>
      <c r="AD45" t="s">
        <v>435</v>
      </c>
      <c r="AE45">
        <v>1</v>
      </c>
      <c r="AF45" t="s">
        <v>437</v>
      </c>
      <c r="AG45" s="186">
        <f t="shared" si="5"/>
        <v>2.8806584362139898E-2</v>
      </c>
      <c r="AH45" s="186">
        <f t="shared" si="6"/>
        <v>2.8806584362139898E-2</v>
      </c>
      <c r="AI45" s="186">
        <f t="shared" si="7"/>
        <v>2.7397260273972712E-2</v>
      </c>
      <c r="AJ45" s="186">
        <f t="shared" si="8"/>
        <v>2.8806584362139898E-2</v>
      </c>
      <c r="AK45" s="186">
        <f t="shared" si="9"/>
        <v>2.8806584362139898E-2</v>
      </c>
      <c r="AL45" s="186">
        <f t="shared" si="10"/>
        <v>2.8806584362139898E-2</v>
      </c>
      <c r="AM45" s="186">
        <f t="shared" si="11"/>
        <v>2.8806584362139898E-2</v>
      </c>
      <c r="AN45" s="186">
        <f t="shared" si="12"/>
        <v>2.8806584362139898E-2</v>
      </c>
      <c r="AO45" s="186">
        <f t="shared" si="13"/>
        <v>2.8806584362139898E-2</v>
      </c>
      <c r="AP45" s="186">
        <f t="shared" si="14"/>
        <v>2.8436018957346043E-2</v>
      </c>
      <c r="AQ45" s="186">
        <f t="shared" si="15"/>
        <v>2.7424094025465307E-2</v>
      </c>
      <c r="AR45" s="186">
        <f t="shared" si="16"/>
        <v>2.8806584362139898E-2</v>
      </c>
      <c r="AV45" s="139">
        <v>43437</v>
      </c>
      <c r="AW45" s="139">
        <v>43830</v>
      </c>
      <c r="AY45" s="146">
        <v>237</v>
      </c>
      <c r="AZ45" s="146">
        <v>237</v>
      </c>
      <c r="BA45" s="146">
        <v>284</v>
      </c>
      <c r="BB45" s="146">
        <v>237</v>
      </c>
      <c r="BC45" s="146">
        <v>237</v>
      </c>
      <c r="BD45" s="146">
        <v>237</v>
      </c>
      <c r="BE45" s="146">
        <v>237</v>
      </c>
      <c r="BF45" s="146">
        <v>237</v>
      </c>
      <c r="BG45" s="146">
        <v>237</v>
      </c>
      <c r="BH45" s="146">
        <v>206</v>
      </c>
      <c r="BI45" s="146">
        <v>995</v>
      </c>
      <c r="BJ45" s="146">
        <v>237</v>
      </c>
      <c r="BK45" s="146">
        <v>6375</v>
      </c>
    </row>
    <row r="46" spans="1:102" x14ac:dyDescent="0.25">
      <c r="A46" s="27" t="s">
        <v>282</v>
      </c>
      <c r="B46" s="14" t="s">
        <v>283</v>
      </c>
      <c r="C46" s="6" t="s">
        <v>284</v>
      </c>
      <c r="D46" s="6" t="s">
        <v>284</v>
      </c>
      <c r="E46" s="7"/>
      <c r="F46" s="163">
        <f>+VLOOKUP($D46,'Pricing Conditions M1 SCBA'!C:F,4,FALSE)</f>
        <v>443</v>
      </c>
      <c r="G46" t="s">
        <v>435</v>
      </c>
      <c r="H46">
        <v>1</v>
      </c>
      <c r="I46" t="s">
        <v>460</v>
      </c>
      <c r="J46" s="164" t="s">
        <v>535</v>
      </c>
      <c r="K46" s="164" t="s">
        <v>524</v>
      </c>
      <c r="L46"/>
      <c r="M46" s="145">
        <f t="shared" si="1"/>
        <v>443</v>
      </c>
      <c r="N46" s="146">
        <f t="shared" si="0"/>
        <v>443</v>
      </c>
      <c r="O46" s="145">
        <f t="shared" si="2"/>
        <v>531</v>
      </c>
      <c r="P46" s="146">
        <v>443</v>
      </c>
      <c r="Q46" s="146">
        <v>443</v>
      </c>
      <c r="R46" s="146">
        <v>443</v>
      </c>
      <c r="S46" s="146">
        <v>443</v>
      </c>
      <c r="T46" s="146">
        <v>443</v>
      </c>
      <c r="U46" s="146">
        <v>443</v>
      </c>
      <c r="V46" s="145">
        <f t="shared" si="3"/>
        <v>385</v>
      </c>
      <c r="W46" s="145">
        <f t="shared" si="4"/>
        <v>1859</v>
      </c>
      <c r="X46" s="146">
        <v>443</v>
      </c>
      <c r="Y46" s="184">
        <v>2.7E-2</v>
      </c>
      <c r="Z46" s="141">
        <f>+VLOOKUP($D46,'Pricing Conditions M1 SCBA'!C:I,7,FALSE)</f>
        <v>431</v>
      </c>
      <c r="AA46" s="141">
        <v>517</v>
      </c>
      <c r="AB46" s="141">
        <v>375</v>
      </c>
      <c r="AC46" s="141">
        <v>1810</v>
      </c>
      <c r="AD46" t="s">
        <v>435</v>
      </c>
      <c r="AE46">
        <v>1</v>
      </c>
      <c r="AF46" t="s">
        <v>437</v>
      </c>
      <c r="AG46" s="186">
        <f t="shared" si="5"/>
        <v>2.7842227378190199E-2</v>
      </c>
      <c r="AH46" s="186">
        <f t="shared" si="6"/>
        <v>2.7842227378190199E-2</v>
      </c>
      <c r="AI46" s="186">
        <f t="shared" si="7"/>
        <v>2.7079303675048294E-2</v>
      </c>
      <c r="AJ46" s="186">
        <f t="shared" si="8"/>
        <v>2.7842227378190199E-2</v>
      </c>
      <c r="AK46" s="186">
        <f t="shared" si="9"/>
        <v>2.7842227378190199E-2</v>
      </c>
      <c r="AL46" s="186">
        <f t="shared" si="10"/>
        <v>2.7842227378190199E-2</v>
      </c>
      <c r="AM46" s="186">
        <f t="shared" si="11"/>
        <v>2.7842227378190199E-2</v>
      </c>
      <c r="AN46" s="186">
        <f t="shared" si="12"/>
        <v>2.7842227378190199E-2</v>
      </c>
      <c r="AO46" s="186">
        <f t="shared" si="13"/>
        <v>2.7842227378190199E-2</v>
      </c>
      <c r="AP46" s="186">
        <f t="shared" si="14"/>
        <v>2.6666666666666616E-2</v>
      </c>
      <c r="AQ46" s="186">
        <f t="shared" si="15"/>
        <v>2.7071823204419809E-2</v>
      </c>
      <c r="AR46" s="186">
        <f t="shared" si="16"/>
        <v>2.7842227378190199E-2</v>
      </c>
      <c r="AV46" s="139">
        <v>43437</v>
      </c>
      <c r="AW46" s="139">
        <v>43830</v>
      </c>
      <c r="AY46" s="146">
        <v>420</v>
      </c>
      <c r="AZ46" s="146">
        <v>420</v>
      </c>
      <c r="BA46" s="146">
        <v>504</v>
      </c>
      <c r="BB46" s="146">
        <v>420</v>
      </c>
      <c r="BC46" s="146">
        <v>420</v>
      </c>
      <c r="BD46" s="146">
        <v>420</v>
      </c>
      <c r="BE46" s="146">
        <v>420</v>
      </c>
      <c r="BF46" s="146">
        <v>420</v>
      </c>
      <c r="BG46" s="146">
        <v>420</v>
      </c>
      <c r="BH46" s="146">
        <v>365</v>
      </c>
      <c r="BI46" s="146">
        <v>1764</v>
      </c>
      <c r="BJ46" s="146">
        <v>420</v>
      </c>
      <c r="BK46" s="146">
        <v>11298</v>
      </c>
    </row>
    <row r="47" spans="1:102" x14ac:dyDescent="0.25">
      <c r="A47" s="27" t="s">
        <v>285</v>
      </c>
      <c r="B47" s="14" t="s">
        <v>286</v>
      </c>
      <c r="C47" s="6" t="s">
        <v>287</v>
      </c>
      <c r="D47" s="6" t="s">
        <v>287</v>
      </c>
      <c r="E47" s="7"/>
      <c r="F47" s="163">
        <f>+VLOOKUP($D47,'Pricing Conditions M1 SCBA'!C:F,4,FALSE)</f>
        <v>443</v>
      </c>
      <c r="G47" t="s">
        <v>435</v>
      </c>
      <c r="H47">
        <v>1</v>
      </c>
      <c r="I47" t="s">
        <v>460</v>
      </c>
      <c r="J47" s="164" t="s">
        <v>535</v>
      </c>
      <c r="K47" s="164" t="s">
        <v>524</v>
      </c>
      <c r="L47"/>
      <c r="M47" s="145">
        <f t="shared" si="1"/>
        <v>443</v>
      </c>
      <c r="N47" s="146">
        <f t="shared" si="0"/>
        <v>443</v>
      </c>
      <c r="O47" s="145">
        <f t="shared" si="2"/>
        <v>531</v>
      </c>
      <c r="P47" s="146">
        <v>443</v>
      </c>
      <c r="Q47" s="146">
        <v>443</v>
      </c>
      <c r="R47" s="146">
        <v>443</v>
      </c>
      <c r="S47" s="146">
        <v>443</v>
      </c>
      <c r="T47" s="146">
        <v>443</v>
      </c>
      <c r="U47" s="146">
        <v>443</v>
      </c>
      <c r="V47" s="145">
        <f t="shared" si="3"/>
        <v>385</v>
      </c>
      <c r="W47" s="145">
        <f t="shared" si="4"/>
        <v>1859</v>
      </c>
      <c r="X47" s="146">
        <v>443</v>
      </c>
      <c r="Y47" s="184">
        <v>2.7E-2</v>
      </c>
      <c r="Z47" s="141">
        <f>+VLOOKUP($D47,'Pricing Conditions M1 SCBA'!C:I,7,FALSE)</f>
        <v>431</v>
      </c>
      <c r="AA47" s="141">
        <v>517</v>
      </c>
      <c r="AB47" s="141">
        <v>375</v>
      </c>
      <c r="AC47" s="141">
        <v>1810</v>
      </c>
      <c r="AD47" t="s">
        <v>435</v>
      </c>
      <c r="AE47">
        <v>1</v>
      </c>
      <c r="AF47" t="s">
        <v>437</v>
      </c>
      <c r="AG47" s="186">
        <f t="shared" si="5"/>
        <v>2.7842227378190199E-2</v>
      </c>
      <c r="AH47" s="186">
        <f t="shared" si="6"/>
        <v>2.7842227378190199E-2</v>
      </c>
      <c r="AI47" s="186">
        <f t="shared" si="7"/>
        <v>2.7079303675048294E-2</v>
      </c>
      <c r="AJ47" s="186">
        <f t="shared" si="8"/>
        <v>2.7842227378190199E-2</v>
      </c>
      <c r="AK47" s="186">
        <f t="shared" si="9"/>
        <v>2.7842227378190199E-2</v>
      </c>
      <c r="AL47" s="186">
        <f t="shared" si="10"/>
        <v>2.7842227378190199E-2</v>
      </c>
      <c r="AM47" s="186">
        <f t="shared" si="11"/>
        <v>2.7842227378190199E-2</v>
      </c>
      <c r="AN47" s="186">
        <f t="shared" si="12"/>
        <v>2.7842227378190199E-2</v>
      </c>
      <c r="AO47" s="186">
        <f t="shared" si="13"/>
        <v>2.7842227378190199E-2</v>
      </c>
      <c r="AP47" s="186">
        <f t="shared" si="14"/>
        <v>2.6666666666666616E-2</v>
      </c>
      <c r="AQ47" s="186">
        <f t="shared" si="15"/>
        <v>2.7071823204419809E-2</v>
      </c>
      <c r="AR47" s="186">
        <f t="shared" si="16"/>
        <v>2.7842227378190199E-2</v>
      </c>
      <c r="AV47" s="139">
        <v>43437</v>
      </c>
      <c r="AW47" s="139">
        <v>43830</v>
      </c>
      <c r="AY47" s="146">
        <v>420</v>
      </c>
      <c r="AZ47" s="146">
        <v>420</v>
      </c>
      <c r="BA47" s="146">
        <v>504</v>
      </c>
      <c r="BB47" s="146">
        <v>420</v>
      </c>
      <c r="BC47" s="146">
        <v>420</v>
      </c>
      <c r="BD47" s="146">
        <v>420</v>
      </c>
      <c r="BE47" s="146">
        <v>420</v>
      </c>
      <c r="BF47" s="146">
        <v>420</v>
      </c>
      <c r="BG47" s="146">
        <v>420</v>
      </c>
      <c r="BH47" s="146">
        <v>365</v>
      </c>
      <c r="BI47" s="146">
        <v>1764</v>
      </c>
      <c r="BJ47" s="146">
        <v>420</v>
      </c>
      <c r="BK47" s="146">
        <v>11298</v>
      </c>
    </row>
    <row r="48" spans="1:102" x14ac:dyDescent="0.25">
      <c r="A48" s="27" t="s">
        <v>288</v>
      </c>
      <c r="B48" s="14" t="s">
        <v>289</v>
      </c>
      <c r="C48" s="6" t="s">
        <v>290</v>
      </c>
      <c r="D48" s="6" t="s">
        <v>290</v>
      </c>
      <c r="E48" s="7"/>
      <c r="F48" s="163">
        <f>+VLOOKUP($D48,'Pricing Conditions M1 SCBA'!C:F,4,FALSE)</f>
        <v>514</v>
      </c>
      <c r="G48" t="s">
        <v>435</v>
      </c>
      <c r="H48">
        <v>1</v>
      </c>
      <c r="I48" t="s">
        <v>460</v>
      </c>
      <c r="J48" s="164" t="s">
        <v>535</v>
      </c>
      <c r="K48" s="164" t="s">
        <v>524</v>
      </c>
      <c r="L48"/>
      <c r="M48" s="145">
        <f t="shared" si="1"/>
        <v>514</v>
      </c>
      <c r="N48" s="146">
        <f t="shared" si="0"/>
        <v>514</v>
      </c>
      <c r="O48" s="145">
        <f t="shared" si="2"/>
        <v>616</v>
      </c>
      <c r="P48" s="146">
        <v>514</v>
      </c>
      <c r="Q48" s="146">
        <v>514</v>
      </c>
      <c r="R48" s="146">
        <v>514</v>
      </c>
      <c r="S48" s="146">
        <v>514</v>
      </c>
      <c r="T48" s="146">
        <v>514</v>
      </c>
      <c r="U48" s="146">
        <v>514</v>
      </c>
      <c r="V48" s="145">
        <f t="shared" si="3"/>
        <v>447</v>
      </c>
      <c r="W48" s="145">
        <f t="shared" si="4"/>
        <v>2157</v>
      </c>
      <c r="X48" s="146">
        <v>514</v>
      </c>
      <c r="Y48" s="184">
        <v>2.7E-2</v>
      </c>
      <c r="Z48" s="141">
        <f>+VLOOKUP($D48,'Pricing Conditions M1 SCBA'!C:I,7,FALSE)</f>
        <v>500</v>
      </c>
      <c r="AA48" s="141">
        <v>600</v>
      </c>
      <c r="AB48" s="141">
        <v>435</v>
      </c>
      <c r="AC48" s="141">
        <v>2100</v>
      </c>
      <c r="AD48" t="s">
        <v>435</v>
      </c>
      <c r="AE48">
        <v>1</v>
      </c>
      <c r="AF48" t="s">
        <v>437</v>
      </c>
      <c r="AG48" s="186">
        <f t="shared" si="5"/>
        <v>2.8000000000000025E-2</v>
      </c>
      <c r="AH48" s="186">
        <f t="shared" si="6"/>
        <v>2.8000000000000025E-2</v>
      </c>
      <c r="AI48" s="186">
        <f t="shared" si="7"/>
        <v>2.6666666666666616E-2</v>
      </c>
      <c r="AJ48" s="186">
        <f t="shared" si="8"/>
        <v>2.8000000000000025E-2</v>
      </c>
      <c r="AK48" s="186">
        <f t="shared" si="9"/>
        <v>2.8000000000000025E-2</v>
      </c>
      <c r="AL48" s="186">
        <f t="shared" si="10"/>
        <v>2.8000000000000025E-2</v>
      </c>
      <c r="AM48" s="186">
        <f t="shared" si="11"/>
        <v>2.8000000000000025E-2</v>
      </c>
      <c r="AN48" s="186">
        <f t="shared" si="12"/>
        <v>2.8000000000000025E-2</v>
      </c>
      <c r="AO48" s="186">
        <f t="shared" si="13"/>
        <v>2.8000000000000025E-2</v>
      </c>
      <c r="AP48" s="186">
        <f t="shared" si="14"/>
        <v>2.7586206896551779E-2</v>
      </c>
      <c r="AQ48" s="186">
        <f t="shared" si="15"/>
        <v>2.7142857142857135E-2</v>
      </c>
      <c r="AR48" s="186">
        <f t="shared" si="16"/>
        <v>2.8000000000000025E-2</v>
      </c>
      <c r="AV48" s="139">
        <v>43437</v>
      </c>
      <c r="AW48" s="139">
        <v>43830</v>
      </c>
      <c r="AY48" s="146">
        <v>487</v>
      </c>
      <c r="AZ48" s="146">
        <v>487</v>
      </c>
      <c r="BA48" s="146">
        <v>584</v>
      </c>
      <c r="BB48" s="146">
        <v>487</v>
      </c>
      <c r="BC48" s="146">
        <v>487</v>
      </c>
      <c r="BD48" s="146">
        <v>487</v>
      </c>
      <c r="BE48" s="146">
        <v>487</v>
      </c>
      <c r="BF48" s="146">
        <v>487</v>
      </c>
      <c r="BG48" s="146">
        <v>487</v>
      </c>
      <c r="BH48" s="146">
        <v>424</v>
      </c>
      <c r="BI48" s="146">
        <v>2045</v>
      </c>
      <c r="BJ48" s="146">
        <v>487</v>
      </c>
      <c r="BK48" s="146">
        <v>13100</v>
      </c>
    </row>
    <row r="49" spans="1:63" x14ac:dyDescent="0.25">
      <c r="A49" s="27" t="s">
        <v>291</v>
      </c>
      <c r="B49" s="14" t="s">
        <v>292</v>
      </c>
      <c r="C49" s="6" t="s">
        <v>293</v>
      </c>
      <c r="D49" s="6" t="s">
        <v>293</v>
      </c>
      <c r="E49" s="7"/>
      <c r="F49" s="163">
        <f>+VLOOKUP($D49,'Pricing Conditions M1 SCBA'!C:F,4,FALSE)</f>
        <v>514</v>
      </c>
      <c r="G49" t="s">
        <v>435</v>
      </c>
      <c r="H49">
        <v>1</v>
      </c>
      <c r="I49" t="s">
        <v>460</v>
      </c>
      <c r="J49" s="164" t="s">
        <v>535</v>
      </c>
      <c r="K49" s="164" t="s">
        <v>524</v>
      </c>
      <c r="L49"/>
      <c r="M49" s="145">
        <f t="shared" si="1"/>
        <v>514</v>
      </c>
      <c r="N49" s="146">
        <f t="shared" si="0"/>
        <v>514</v>
      </c>
      <c r="O49" s="145">
        <f t="shared" si="2"/>
        <v>616</v>
      </c>
      <c r="P49" s="146">
        <v>514</v>
      </c>
      <c r="Q49" s="146">
        <v>514</v>
      </c>
      <c r="R49" s="146">
        <v>514</v>
      </c>
      <c r="S49" s="146">
        <v>514</v>
      </c>
      <c r="T49" s="146">
        <v>514</v>
      </c>
      <c r="U49" s="146">
        <v>514</v>
      </c>
      <c r="V49" s="145">
        <f t="shared" si="3"/>
        <v>447</v>
      </c>
      <c r="W49" s="145">
        <f t="shared" si="4"/>
        <v>2157</v>
      </c>
      <c r="X49" s="146">
        <v>514</v>
      </c>
      <c r="Y49" s="184">
        <v>2.7E-2</v>
      </c>
      <c r="Z49" s="141">
        <f>+VLOOKUP($D49,'Pricing Conditions M1 SCBA'!C:I,7,FALSE)</f>
        <v>500</v>
      </c>
      <c r="AA49" s="141">
        <v>600</v>
      </c>
      <c r="AB49" s="141">
        <v>435</v>
      </c>
      <c r="AC49" s="141">
        <v>2100</v>
      </c>
      <c r="AD49" t="s">
        <v>435</v>
      </c>
      <c r="AE49">
        <v>1</v>
      </c>
      <c r="AF49" t="s">
        <v>437</v>
      </c>
      <c r="AG49" s="186">
        <f t="shared" si="5"/>
        <v>2.8000000000000025E-2</v>
      </c>
      <c r="AH49" s="186">
        <f t="shared" si="6"/>
        <v>2.8000000000000025E-2</v>
      </c>
      <c r="AI49" s="186">
        <f t="shared" si="7"/>
        <v>2.6666666666666616E-2</v>
      </c>
      <c r="AJ49" s="186">
        <f t="shared" si="8"/>
        <v>2.8000000000000025E-2</v>
      </c>
      <c r="AK49" s="186">
        <f t="shared" si="9"/>
        <v>2.8000000000000025E-2</v>
      </c>
      <c r="AL49" s="186">
        <f t="shared" si="10"/>
        <v>2.8000000000000025E-2</v>
      </c>
      <c r="AM49" s="186">
        <f t="shared" si="11"/>
        <v>2.8000000000000025E-2</v>
      </c>
      <c r="AN49" s="186">
        <f t="shared" si="12"/>
        <v>2.8000000000000025E-2</v>
      </c>
      <c r="AO49" s="186">
        <f t="shared" si="13"/>
        <v>2.8000000000000025E-2</v>
      </c>
      <c r="AP49" s="186">
        <f t="shared" si="14"/>
        <v>2.7586206896551779E-2</v>
      </c>
      <c r="AQ49" s="186">
        <f t="shared" si="15"/>
        <v>2.7142857142857135E-2</v>
      </c>
      <c r="AR49" s="186">
        <f t="shared" si="16"/>
        <v>2.8000000000000025E-2</v>
      </c>
      <c r="AV49" s="139">
        <v>43437</v>
      </c>
      <c r="AW49" s="139">
        <v>43830</v>
      </c>
      <c r="AY49" s="146">
        <v>487</v>
      </c>
      <c r="AZ49" s="146">
        <v>487</v>
      </c>
      <c r="BA49" s="146">
        <v>584</v>
      </c>
      <c r="BB49" s="146">
        <v>487</v>
      </c>
      <c r="BC49" s="146">
        <v>487</v>
      </c>
      <c r="BD49" s="146">
        <v>487</v>
      </c>
      <c r="BE49" s="146">
        <v>487</v>
      </c>
      <c r="BF49" s="146">
        <v>487</v>
      </c>
      <c r="BG49" s="146">
        <v>487</v>
      </c>
      <c r="BH49" s="146">
        <v>424</v>
      </c>
      <c r="BI49" s="146">
        <v>2045</v>
      </c>
      <c r="BJ49" s="146">
        <v>487</v>
      </c>
      <c r="BK49" s="146">
        <v>13100</v>
      </c>
    </row>
    <row r="50" spans="1:63" x14ac:dyDescent="0.25">
      <c r="A50" s="26" t="s">
        <v>307</v>
      </c>
      <c r="B50" s="14" t="s">
        <v>308</v>
      </c>
      <c r="C50" s="7" t="s">
        <v>309</v>
      </c>
      <c r="D50" s="7" t="s">
        <v>309</v>
      </c>
      <c r="E50" s="7"/>
      <c r="F50" s="163">
        <f>+VLOOKUP($D50,'Pricing Conditions M1 SCBA'!C:F,4,FALSE)</f>
        <v>229</v>
      </c>
      <c r="G50" t="s">
        <v>435</v>
      </c>
      <c r="H50">
        <v>1</v>
      </c>
      <c r="I50" t="s">
        <v>460</v>
      </c>
      <c r="J50" s="164" t="s">
        <v>535</v>
      </c>
      <c r="K50" s="164" t="s">
        <v>524</v>
      </c>
      <c r="L50"/>
      <c r="M50" s="145">
        <f t="shared" si="1"/>
        <v>229</v>
      </c>
      <c r="N50" s="146">
        <f t="shared" si="0"/>
        <v>229</v>
      </c>
      <c r="O50" s="145">
        <f t="shared" si="2"/>
        <v>275</v>
      </c>
      <c r="P50" s="146">
        <v>229</v>
      </c>
      <c r="Q50" s="146">
        <v>229</v>
      </c>
      <c r="R50" s="146">
        <v>229</v>
      </c>
      <c r="S50" s="146">
        <v>229</v>
      </c>
      <c r="T50" s="146">
        <v>229</v>
      </c>
      <c r="U50" s="146">
        <v>229</v>
      </c>
      <c r="V50" s="145">
        <f t="shared" si="3"/>
        <v>199</v>
      </c>
      <c r="W50" s="145">
        <f t="shared" si="4"/>
        <v>962</v>
      </c>
      <c r="X50" s="146">
        <v>229</v>
      </c>
      <c r="Y50" s="184">
        <v>2.7E-2</v>
      </c>
      <c r="Z50" s="141">
        <f>+VLOOKUP($D50,'Pricing Conditions M1 SCBA'!C:I,7,FALSE)</f>
        <v>223</v>
      </c>
      <c r="AA50" s="141">
        <v>268</v>
      </c>
      <c r="AB50" s="141">
        <v>194</v>
      </c>
      <c r="AC50" s="141">
        <v>937</v>
      </c>
      <c r="AD50" t="s">
        <v>435</v>
      </c>
      <c r="AE50">
        <v>1</v>
      </c>
      <c r="AF50" t="s">
        <v>437</v>
      </c>
      <c r="AG50" s="186">
        <f t="shared" si="5"/>
        <v>2.6905829596412634E-2</v>
      </c>
      <c r="AH50" s="186">
        <f t="shared" si="6"/>
        <v>2.6905829596412634E-2</v>
      </c>
      <c r="AI50" s="186">
        <f t="shared" si="7"/>
        <v>2.6119402985074647E-2</v>
      </c>
      <c r="AJ50" s="186">
        <f t="shared" si="8"/>
        <v>2.6905829596412634E-2</v>
      </c>
      <c r="AK50" s="186">
        <f t="shared" si="9"/>
        <v>2.6905829596412634E-2</v>
      </c>
      <c r="AL50" s="186">
        <f t="shared" si="10"/>
        <v>2.6905829596412634E-2</v>
      </c>
      <c r="AM50" s="186">
        <f t="shared" si="11"/>
        <v>2.6905829596412634E-2</v>
      </c>
      <c r="AN50" s="186">
        <f t="shared" si="12"/>
        <v>2.6905829596412634E-2</v>
      </c>
      <c r="AO50" s="186">
        <f t="shared" si="13"/>
        <v>2.6905829596412634E-2</v>
      </c>
      <c r="AP50" s="186">
        <f t="shared" si="14"/>
        <v>2.5773195876288568E-2</v>
      </c>
      <c r="AQ50" s="186">
        <f t="shared" si="15"/>
        <v>2.6680896478121774E-2</v>
      </c>
      <c r="AR50" s="186">
        <f t="shared" si="16"/>
        <v>2.6905829596412634E-2</v>
      </c>
      <c r="AV50" s="139">
        <v>43437</v>
      </c>
      <c r="AW50" s="139">
        <v>43830</v>
      </c>
      <c r="AY50" s="146">
        <v>217</v>
      </c>
      <c r="AZ50" s="146">
        <v>217</v>
      </c>
      <c r="BA50" s="146">
        <v>260</v>
      </c>
      <c r="BB50" s="146">
        <v>217</v>
      </c>
      <c r="BC50" s="146">
        <v>217</v>
      </c>
      <c r="BD50" s="146">
        <v>217</v>
      </c>
      <c r="BE50" s="146">
        <v>217</v>
      </c>
      <c r="BF50" s="146">
        <v>217</v>
      </c>
      <c r="BG50" s="146">
        <v>217</v>
      </c>
      <c r="BH50" s="146">
        <v>189</v>
      </c>
      <c r="BI50" s="146">
        <v>911</v>
      </c>
      <c r="BJ50" s="146">
        <v>217</v>
      </c>
      <c r="BK50" s="146">
        <v>5837</v>
      </c>
    </row>
    <row r="51" spans="1:63" x14ac:dyDescent="0.25">
      <c r="A51" s="26" t="s">
        <v>149</v>
      </c>
      <c r="B51" s="14" t="s">
        <v>150</v>
      </c>
      <c r="C51" s="7" t="s">
        <v>151</v>
      </c>
      <c r="D51" s="7" t="s">
        <v>151</v>
      </c>
      <c r="E51" s="7"/>
      <c r="F51" s="163">
        <f>+VLOOKUP($D51,'Pricing Conditions M1 SCBA'!C:F,4,FALSE)</f>
        <v>593</v>
      </c>
      <c r="G51" t="s">
        <v>435</v>
      </c>
      <c r="H51">
        <v>1</v>
      </c>
      <c r="I51" t="s">
        <v>460</v>
      </c>
      <c r="J51" s="164" t="s">
        <v>535</v>
      </c>
      <c r="K51" s="164" t="s">
        <v>524</v>
      </c>
      <c r="L51"/>
      <c r="M51" s="145">
        <f t="shared" si="1"/>
        <v>593</v>
      </c>
      <c r="N51" s="146">
        <f t="shared" si="0"/>
        <v>593</v>
      </c>
      <c r="O51" s="145">
        <f t="shared" si="2"/>
        <v>712</v>
      </c>
      <c r="P51" s="146">
        <v>593</v>
      </c>
      <c r="Q51" s="146">
        <v>593</v>
      </c>
      <c r="R51" s="146">
        <v>593</v>
      </c>
      <c r="S51" s="146">
        <v>593</v>
      </c>
      <c r="T51" s="146">
        <v>593</v>
      </c>
      <c r="U51" s="146">
        <v>593</v>
      </c>
      <c r="V51" s="145">
        <f t="shared" si="3"/>
        <v>516</v>
      </c>
      <c r="W51" s="145">
        <f t="shared" si="4"/>
        <v>2490</v>
      </c>
      <c r="X51" s="146">
        <v>593</v>
      </c>
      <c r="Y51" s="190">
        <v>0.1</v>
      </c>
      <c r="Z51" s="141">
        <f>+VLOOKUP($D51,'Pricing Conditions M1 SCBA'!C:I,7,FALSE)</f>
        <v>539</v>
      </c>
      <c r="AA51" s="141">
        <v>647</v>
      </c>
      <c r="AB51" s="141">
        <v>469</v>
      </c>
      <c r="AC51" s="141">
        <v>2264</v>
      </c>
      <c r="AD51" t="s">
        <v>435</v>
      </c>
      <c r="AE51">
        <v>1</v>
      </c>
      <c r="AF51" t="s">
        <v>460</v>
      </c>
      <c r="AG51" s="186">
        <f t="shared" si="5"/>
        <v>0.1001855287569573</v>
      </c>
      <c r="AH51" s="186">
        <f t="shared" si="6"/>
        <v>0.1001855287569573</v>
      </c>
      <c r="AI51" s="186">
        <f t="shared" si="7"/>
        <v>0.10046367851622873</v>
      </c>
      <c r="AJ51" s="186">
        <f t="shared" si="8"/>
        <v>0.1001855287569573</v>
      </c>
      <c r="AK51" s="186">
        <f t="shared" si="9"/>
        <v>0.1001855287569573</v>
      </c>
      <c r="AL51" s="186">
        <f t="shared" si="10"/>
        <v>0.1001855287569573</v>
      </c>
      <c r="AM51" s="186">
        <f t="shared" si="11"/>
        <v>0.1001855287569573</v>
      </c>
      <c r="AN51" s="186">
        <f t="shared" si="12"/>
        <v>0.1001855287569573</v>
      </c>
      <c r="AO51" s="186">
        <f t="shared" si="13"/>
        <v>0.1001855287569573</v>
      </c>
      <c r="AP51" s="186">
        <f t="shared" si="14"/>
        <v>0.10021321961620466</v>
      </c>
      <c r="AQ51" s="186">
        <f t="shared" si="15"/>
        <v>9.9823321554770361E-2</v>
      </c>
      <c r="AR51" s="186">
        <f t="shared" si="16"/>
        <v>0.1001855287569573</v>
      </c>
      <c r="AV51" s="139">
        <v>43595</v>
      </c>
      <c r="AW51" s="139">
        <v>43830</v>
      </c>
      <c r="AY51" s="146">
        <v>525</v>
      </c>
      <c r="AZ51" s="146">
        <v>525</v>
      </c>
      <c r="BA51" s="146">
        <v>630</v>
      </c>
      <c r="BB51" s="146">
        <v>525</v>
      </c>
      <c r="BC51" s="146">
        <v>525</v>
      </c>
      <c r="BD51" s="146">
        <v>525</v>
      </c>
      <c r="BE51" s="146">
        <v>525</v>
      </c>
      <c r="BF51" s="146">
        <v>525</v>
      </c>
      <c r="BG51" s="146">
        <v>525</v>
      </c>
      <c r="BH51" s="146">
        <v>457</v>
      </c>
      <c r="BI51" s="146">
        <v>2205</v>
      </c>
      <c r="BJ51" s="146">
        <v>525</v>
      </c>
      <c r="BK51" s="146">
        <v>14123</v>
      </c>
    </row>
    <row r="52" spans="1:63" x14ac:dyDescent="0.25">
      <c r="A52" s="26" t="s">
        <v>158</v>
      </c>
      <c r="B52" s="14" t="s">
        <v>159</v>
      </c>
      <c r="C52" s="7" t="s">
        <v>160</v>
      </c>
      <c r="D52" s="7" t="s">
        <v>160</v>
      </c>
      <c r="E52" s="7"/>
      <c r="F52" s="163">
        <f>+VLOOKUP($D52,'Pricing Conditions M1 SCBA'!C:F,4,FALSE)</f>
        <v>64</v>
      </c>
      <c r="G52" t="s">
        <v>435</v>
      </c>
      <c r="H52">
        <v>1</v>
      </c>
      <c r="I52" t="s">
        <v>460</v>
      </c>
      <c r="J52" s="164" t="s">
        <v>535</v>
      </c>
      <c r="K52" s="164" t="s">
        <v>524</v>
      </c>
      <c r="L52"/>
      <c r="M52" s="145">
        <f t="shared" si="1"/>
        <v>64</v>
      </c>
      <c r="N52" s="146">
        <f t="shared" si="0"/>
        <v>64</v>
      </c>
      <c r="O52" s="145">
        <f t="shared" si="2"/>
        <v>76</v>
      </c>
      <c r="P52" s="146">
        <v>64</v>
      </c>
      <c r="Q52" s="146">
        <v>64</v>
      </c>
      <c r="R52" s="146">
        <v>64</v>
      </c>
      <c r="S52" s="146">
        <v>64</v>
      </c>
      <c r="T52" s="146">
        <v>64</v>
      </c>
      <c r="U52" s="146">
        <v>64</v>
      </c>
      <c r="V52" s="145">
        <f t="shared" si="3"/>
        <v>55</v>
      </c>
      <c r="W52" s="145">
        <f t="shared" si="4"/>
        <v>267</v>
      </c>
      <c r="X52" s="146">
        <v>64</v>
      </c>
      <c r="Y52" s="184">
        <v>2.7E-2</v>
      </c>
      <c r="Z52" s="141">
        <f>+VLOOKUP($D52,'Pricing Conditions M1 SCBA'!C:I,7,FALSE)</f>
        <v>62</v>
      </c>
      <c r="AA52" s="141">
        <v>74</v>
      </c>
      <c r="AB52" s="141">
        <v>54</v>
      </c>
      <c r="AC52" s="141">
        <v>260</v>
      </c>
      <c r="AD52" t="s">
        <v>435</v>
      </c>
      <c r="AE52">
        <v>1</v>
      </c>
      <c r="AF52" t="s">
        <v>460</v>
      </c>
      <c r="AG52" s="186">
        <f t="shared" si="5"/>
        <v>3.2258064516129004E-2</v>
      </c>
      <c r="AH52" s="186">
        <f t="shared" si="6"/>
        <v>3.2258064516129004E-2</v>
      </c>
      <c r="AI52" s="186">
        <f t="shared" si="7"/>
        <v>2.7027027027026973E-2</v>
      </c>
      <c r="AJ52" s="186">
        <f t="shared" si="8"/>
        <v>3.2258064516129004E-2</v>
      </c>
      <c r="AK52" s="186">
        <f t="shared" si="9"/>
        <v>3.2258064516129004E-2</v>
      </c>
      <c r="AL52" s="186">
        <f t="shared" si="10"/>
        <v>3.2258064516129004E-2</v>
      </c>
      <c r="AM52" s="186">
        <f t="shared" si="11"/>
        <v>3.2258064516129004E-2</v>
      </c>
      <c r="AN52" s="186">
        <f t="shared" si="12"/>
        <v>3.2258064516129004E-2</v>
      </c>
      <c r="AO52" s="186">
        <f t="shared" si="13"/>
        <v>3.2258064516129004E-2</v>
      </c>
      <c r="AP52" s="186">
        <f t="shared" si="14"/>
        <v>1.8518518518518601E-2</v>
      </c>
      <c r="AQ52" s="186">
        <f t="shared" si="15"/>
        <v>2.6923076923076827E-2</v>
      </c>
      <c r="AR52" s="186">
        <f t="shared" si="16"/>
        <v>3.2258064516129004E-2</v>
      </c>
      <c r="AV52" s="139">
        <v>43595</v>
      </c>
      <c r="AW52" s="139">
        <v>43830</v>
      </c>
      <c r="AY52" s="146">
        <v>60</v>
      </c>
      <c r="AZ52" s="146">
        <v>60</v>
      </c>
      <c r="BA52" s="146">
        <v>72</v>
      </c>
      <c r="BB52" s="146">
        <v>60</v>
      </c>
      <c r="BC52" s="146">
        <v>60</v>
      </c>
      <c r="BD52" s="146">
        <v>60</v>
      </c>
      <c r="BE52" s="146">
        <v>60</v>
      </c>
      <c r="BF52" s="146">
        <v>60</v>
      </c>
      <c r="BG52" s="146">
        <v>60</v>
      </c>
      <c r="BH52" s="146">
        <v>52</v>
      </c>
      <c r="BI52" s="146">
        <v>252</v>
      </c>
      <c r="BJ52" s="146">
        <v>60</v>
      </c>
      <c r="BK52" s="146">
        <v>1614</v>
      </c>
    </row>
    <row r="53" spans="1:63" x14ac:dyDescent="0.25">
      <c r="A53" s="27" t="s">
        <v>297</v>
      </c>
      <c r="B53" s="14" t="s">
        <v>298</v>
      </c>
      <c r="C53" s="19"/>
      <c r="D53" s="6" t="s">
        <v>453</v>
      </c>
      <c r="E53" s="7"/>
      <c r="F53" s="163">
        <f>+VLOOKUP($D53,'Pricing Conditions M1 SCBA'!C:F,4,FALSE)</f>
        <v>17</v>
      </c>
      <c r="G53" t="s">
        <v>435</v>
      </c>
      <c r="H53">
        <v>1</v>
      </c>
      <c r="I53" t="s">
        <v>460</v>
      </c>
      <c r="J53" s="164" t="s">
        <v>535</v>
      </c>
      <c r="K53" s="164" t="s">
        <v>524</v>
      </c>
      <c r="L53"/>
      <c r="M53" s="145">
        <f t="shared" si="1"/>
        <v>17</v>
      </c>
      <c r="N53" s="146">
        <f t="shared" si="0"/>
        <v>17</v>
      </c>
      <c r="O53" s="145">
        <f t="shared" si="2"/>
        <v>21</v>
      </c>
      <c r="P53" s="146">
        <v>17</v>
      </c>
      <c r="Q53" s="146">
        <v>17</v>
      </c>
      <c r="R53" s="146">
        <v>17</v>
      </c>
      <c r="S53" s="146">
        <v>17</v>
      </c>
      <c r="T53" s="146">
        <v>17</v>
      </c>
      <c r="U53" s="146">
        <v>17</v>
      </c>
      <c r="V53" s="145">
        <f t="shared" si="3"/>
        <v>15</v>
      </c>
      <c r="W53" s="145">
        <f t="shared" si="4"/>
        <v>73</v>
      </c>
      <c r="X53" s="146">
        <v>17</v>
      </c>
      <c r="Y53" s="184">
        <v>2.7E-2</v>
      </c>
      <c r="Z53" s="141">
        <f>+VLOOKUP($D53,'Pricing Conditions M1 SCBA'!C:I,7,FALSE)</f>
        <v>17</v>
      </c>
      <c r="AA53" s="141">
        <v>20</v>
      </c>
      <c r="AB53" s="141">
        <v>15</v>
      </c>
      <c r="AC53" s="141">
        <v>71</v>
      </c>
      <c r="AD53" t="s">
        <v>435</v>
      </c>
      <c r="AE53">
        <v>1</v>
      </c>
      <c r="AF53" t="s">
        <v>437</v>
      </c>
      <c r="AG53" s="186">
        <f t="shared" si="5"/>
        <v>0</v>
      </c>
      <c r="AH53" s="186">
        <f t="shared" si="6"/>
        <v>0</v>
      </c>
      <c r="AI53" s="186">
        <f t="shared" si="7"/>
        <v>5.0000000000000044E-2</v>
      </c>
      <c r="AJ53" s="186">
        <f t="shared" si="8"/>
        <v>0</v>
      </c>
      <c r="AK53" s="186">
        <f t="shared" si="9"/>
        <v>0</v>
      </c>
      <c r="AL53" s="186">
        <f t="shared" si="10"/>
        <v>0</v>
      </c>
      <c r="AM53" s="186">
        <f t="shared" si="11"/>
        <v>0</v>
      </c>
      <c r="AN53" s="186">
        <f t="shared" si="12"/>
        <v>0</v>
      </c>
      <c r="AO53" s="186">
        <f t="shared" si="13"/>
        <v>0</v>
      </c>
      <c r="AP53" s="186">
        <f t="shared" si="14"/>
        <v>0</v>
      </c>
      <c r="AQ53" s="186">
        <f t="shared" si="15"/>
        <v>2.8169014084507005E-2</v>
      </c>
      <c r="AR53" s="186">
        <f t="shared" si="16"/>
        <v>0</v>
      </c>
      <c r="AV53" s="139">
        <v>43439</v>
      </c>
      <c r="AW53" s="139">
        <v>43830</v>
      </c>
      <c r="AY53" s="146">
        <v>17</v>
      </c>
      <c r="AZ53" s="146">
        <v>17</v>
      </c>
      <c r="BA53" s="149">
        <v>20</v>
      </c>
      <c r="BB53" s="146">
        <v>17</v>
      </c>
      <c r="BC53" s="146">
        <v>17</v>
      </c>
      <c r="BD53" s="146">
        <v>17</v>
      </c>
      <c r="BE53" s="146">
        <v>17</v>
      </c>
      <c r="BF53" s="146">
        <v>17</v>
      </c>
      <c r="BG53" s="146">
        <v>17</v>
      </c>
      <c r="BH53" s="149">
        <v>15</v>
      </c>
      <c r="BI53" s="149">
        <v>71</v>
      </c>
      <c r="BJ53" s="146">
        <v>17</v>
      </c>
      <c r="BK53" s="149">
        <v>457</v>
      </c>
    </row>
    <row r="54" spans="1:63" x14ac:dyDescent="0.25">
      <c r="A54" s="27" t="s">
        <v>300</v>
      </c>
      <c r="B54" s="14" t="s">
        <v>301</v>
      </c>
      <c r="C54" s="19"/>
      <c r="D54" s="18" t="s">
        <v>452</v>
      </c>
      <c r="F54" s="163">
        <f>+VLOOKUP($D54,'Pricing Conditions M1 SCBA'!C:F,4,FALSE)</f>
        <v>30</v>
      </c>
      <c r="G54" t="s">
        <v>435</v>
      </c>
      <c r="H54">
        <v>1</v>
      </c>
      <c r="I54" t="s">
        <v>460</v>
      </c>
      <c r="J54" s="164" t="s">
        <v>535</v>
      </c>
      <c r="K54" s="164" t="s">
        <v>524</v>
      </c>
      <c r="L54"/>
      <c r="M54" s="145">
        <f t="shared" si="1"/>
        <v>30</v>
      </c>
      <c r="N54" s="146">
        <f t="shared" si="0"/>
        <v>30</v>
      </c>
      <c r="O54" s="145">
        <f t="shared" si="2"/>
        <v>36</v>
      </c>
      <c r="P54" s="146">
        <v>30</v>
      </c>
      <c r="Q54" s="146">
        <v>30</v>
      </c>
      <c r="R54" s="146">
        <v>30</v>
      </c>
      <c r="S54" s="146">
        <v>30</v>
      </c>
      <c r="T54" s="146">
        <v>30</v>
      </c>
      <c r="U54" s="146">
        <v>30</v>
      </c>
      <c r="V54" s="145">
        <f t="shared" si="3"/>
        <v>26</v>
      </c>
      <c r="W54" s="145">
        <f t="shared" si="4"/>
        <v>125</v>
      </c>
      <c r="X54" s="146">
        <v>30</v>
      </c>
      <c r="Y54" s="184">
        <v>2.7E-2</v>
      </c>
      <c r="Z54" s="141">
        <f>+VLOOKUP($D54,'Pricing Conditions M1 SCBA'!C:I,7,FALSE)</f>
        <v>29</v>
      </c>
      <c r="AA54" s="141">
        <v>35</v>
      </c>
      <c r="AB54" s="141">
        <v>25</v>
      </c>
      <c r="AC54" s="141">
        <v>122</v>
      </c>
      <c r="AD54" t="s">
        <v>435</v>
      </c>
      <c r="AE54">
        <v>1</v>
      </c>
      <c r="AF54" t="s">
        <v>437</v>
      </c>
      <c r="AG54" s="186">
        <f t="shared" si="5"/>
        <v>3.4482758620689724E-2</v>
      </c>
      <c r="AH54" s="186">
        <f t="shared" si="6"/>
        <v>3.4482758620689724E-2</v>
      </c>
      <c r="AI54" s="186">
        <f t="shared" si="7"/>
        <v>2.857142857142847E-2</v>
      </c>
      <c r="AJ54" s="186">
        <f t="shared" si="8"/>
        <v>3.4482758620689724E-2</v>
      </c>
      <c r="AK54" s="186">
        <f t="shared" si="9"/>
        <v>3.4482758620689724E-2</v>
      </c>
      <c r="AL54" s="186">
        <f t="shared" si="10"/>
        <v>3.4482758620689724E-2</v>
      </c>
      <c r="AM54" s="186">
        <f t="shared" si="11"/>
        <v>3.4482758620689724E-2</v>
      </c>
      <c r="AN54" s="186">
        <f t="shared" si="12"/>
        <v>3.4482758620689724E-2</v>
      </c>
      <c r="AO54" s="186">
        <f t="shared" si="13"/>
        <v>3.4482758620689724E-2</v>
      </c>
      <c r="AP54" s="186">
        <f t="shared" si="14"/>
        <v>4.0000000000000036E-2</v>
      </c>
      <c r="AQ54" s="186">
        <f t="shared" si="15"/>
        <v>2.4590163934426146E-2</v>
      </c>
      <c r="AR54" s="186">
        <f t="shared" si="16"/>
        <v>3.4482758620689724E-2</v>
      </c>
      <c r="AV54" s="139">
        <v>43439</v>
      </c>
      <c r="AW54" s="139">
        <v>43830</v>
      </c>
      <c r="AY54" s="146">
        <v>28</v>
      </c>
      <c r="AZ54" s="146">
        <v>28</v>
      </c>
      <c r="BA54" s="149">
        <v>34</v>
      </c>
      <c r="BB54" s="146">
        <v>28</v>
      </c>
      <c r="BC54" s="146">
        <v>28</v>
      </c>
      <c r="BD54" s="146">
        <v>28</v>
      </c>
      <c r="BE54" s="146">
        <v>28</v>
      </c>
      <c r="BF54" s="146">
        <v>28</v>
      </c>
      <c r="BG54" s="146">
        <v>28</v>
      </c>
      <c r="BH54" s="149">
        <v>24</v>
      </c>
      <c r="BI54" s="149">
        <v>118</v>
      </c>
      <c r="BJ54" s="146">
        <v>28</v>
      </c>
      <c r="BK54" s="149">
        <v>753</v>
      </c>
    </row>
    <row r="55" spans="1:63" x14ac:dyDescent="0.25">
      <c r="A55" s="26" t="s">
        <v>235</v>
      </c>
      <c r="B55" s="14" t="s">
        <v>236</v>
      </c>
      <c r="C55" s="7" t="s">
        <v>237</v>
      </c>
      <c r="D55" s="7" t="s">
        <v>237</v>
      </c>
      <c r="E55" s="7"/>
      <c r="F55" s="163">
        <f>+VLOOKUP($D55,'Pricing Conditions M1 SCBA'!C:F,4,FALSE)</f>
        <v>1065</v>
      </c>
      <c r="G55" t="s">
        <v>435</v>
      </c>
      <c r="H55">
        <v>1</v>
      </c>
      <c r="I55" t="s">
        <v>460</v>
      </c>
      <c r="J55" s="164" t="s">
        <v>535</v>
      </c>
      <c r="K55" s="164" t="s">
        <v>524</v>
      </c>
      <c r="L55"/>
      <c r="M55" s="145">
        <f t="shared" si="1"/>
        <v>1094</v>
      </c>
      <c r="N55" s="146">
        <f t="shared" si="0"/>
        <v>1094</v>
      </c>
      <c r="O55" s="145">
        <f t="shared" si="2"/>
        <v>1313</v>
      </c>
      <c r="P55" s="146">
        <v>1094</v>
      </c>
      <c r="Q55" s="146">
        <v>1094</v>
      </c>
      <c r="R55" s="146">
        <v>1094</v>
      </c>
      <c r="S55" s="146">
        <v>1094</v>
      </c>
      <c r="T55" s="146">
        <v>1094</v>
      </c>
      <c r="U55" s="146">
        <v>1094</v>
      </c>
      <c r="V55" s="145">
        <f t="shared" si="3"/>
        <v>952</v>
      </c>
      <c r="W55" s="145">
        <f t="shared" si="4"/>
        <v>4594</v>
      </c>
      <c r="X55" s="146">
        <v>1094</v>
      </c>
      <c r="Y55" s="184">
        <v>2.7E-2</v>
      </c>
      <c r="Z55" s="141">
        <f>+VLOOKUP($D55,'Pricing Conditions M1 SCBA'!C:I,7,FALSE)</f>
        <v>1065</v>
      </c>
      <c r="AA55" s="141">
        <v>1278</v>
      </c>
      <c r="AB55" s="141">
        <v>927</v>
      </c>
      <c r="AC55" s="141">
        <v>4473</v>
      </c>
      <c r="AD55" t="s">
        <v>435</v>
      </c>
      <c r="AE55">
        <v>1</v>
      </c>
      <c r="AF55" t="s">
        <v>460</v>
      </c>
      <c r="AG55" s="186">
        <f t="shared" si="5"/>
        <v>2.7230046948356845E-2</v>
      </c>
      <c r="AH55" s="186">
        <f t="shared" si="6"/>
        <v>2.7230046948356845E-2</v>
      </c>
      <c r="AI55" s="186">
        <f t="shared" si="7"/>
        <v>2.7386541471048576E-2</v>
      </c>
      <c r="AJ55" s="186">
        <f t="shared" si="8"/>
        <v>2.7230046948356845E-2</v>
      </c>
      <c r="AK55" s="186">
        <f t="shared" si="9"/>
        <v>2.7230046948356845E-2</v>
      </c>
      <c r="AL55" s="186">
        <f t="shared" si="10"/>
        <v>2.7230046948356845E-2</v>
      </c>
      <c r="AM55" s="186">
        <f t="shared" si="11"/>
        <v>2.7230046948356845E-2</v>
      </c>
      <c r="AN55" s="186">
        <f t="shared" si="12"/>
        <v>2.7230046948356845E-2</v>
      </c>
      <c r="AO55" s="186">
        <f t="shared" si="13"/>
        <v>2.7230046948356845E-2</v>
      </c>
      <c r="AP55" s="186">
        <f t="shared" si="14"/>
        <v>2.6968716289104577E-2</v>
      </c>
      <c r="AQ55" s="186">
        <f t="shared" si="15"/>
        <v>2.7051196065280614E-2</v>
      </c>
      <c r="AR55" s="186">
        <f t="shared" si="16"/>
        <v>2.7230046948356845E-2</v>
      </c>
      <c r="AV55" s="139">
        <v>43763</v>
      </c>
      <c r="AW55" s="139">
        <v>43830</v>
      </c>
      <c r="AY55" s="146">
        <v>1065</v>
      </c>
      <c r="AZ55" s="146">
        <v>1065</v>
      </c>
      <c r="BA55" s="146">
        <v>1278</v>
      </c>
      <c r="BB55" s="146">
        <v>1065</v>
      </c>
      <c r="BC55" s="146">
        <v>1065</v>
      </c>
      <c r="BD55" s="146">
        <v>1065</v>
      </c>
      <c r="BE55" s="146">
        <v>1065</v>
      </c>
      <c r="BF55" s="146">
        <v>1065</v>
      </c>
      <c r="BG55" s="146">
        <v>1065</v>
      </c>
      <c r="BH55" s="146">
        <v>927</v>
      </c>
      <c r="BI55" s="146">
        <v>4473</v>
      </c>
      <c r="BJ55" s="146">
        <v>1065</v>
      </c>
      <c r="BK55" s="146">
        <v>0</v>
      </c>
    </row>
    <row r="56" spans="1:63" x14ac:dyDescent="0.25"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</row>
    <row r="57" spans="1:63" x14ac:dyDescent="0.25"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</row>
    <row r="58" spans="1:63" x14ac:dyDescent="0.25"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</row>
  </sheetData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M1- Configurator</vt:lpstr>
      <vt:lpstr>Pricing Conditions M1 SCBA</vt:lpstr>
      <vt:lpstr>Virtuals</vt:lpstr>
      <vt:lpstr>VA00_load</vt:lpstr>
      <vt:lpstr>'M1- Configurator'!Print_Area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Wioletta Worach</cp:lastModifiedBy>
  <cp:lastPrinted>2020-08-24T14:36:01Z</cp:lastPrinted>
  <dcterms:created xsi:type="dcterms:W3CDTF">2018-08-22T10:03:08Z</dcterms:created>
  <dcterms:modified xsi:type="dcterms:W3CDTF">2020-11-18T07:21:55Z</dcterms:modified>
</cp:coreProperties>
</file>